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53222"/>
  <mc:AlternateContent xmlns:mc="http://schemas.openxmlformats.org/markup-compatibility/2006">
    <mc:Choice Requires="x15">
      <x15ac:absPath xmlns:x15ac="http://schemas.microsoft.com/office/spreadsheetml/2010/11/ac" url="\\nioifs1\FolderRedirect\shlomittb\Desktop\תקנים מעודכנים\"/>
    </mc:Choice>
  </mc:AlternateContent>
  <workbookProtection workbookAlgorithmName="SHA-512" workbookHashValue="/rieTDFTbimdtsY3CkLNX/rC4Yf6pWehpQwQA2g1h0BmJqoGoJs5G+BLgZPHpP8866cDBsJDXAvmGZSlUx/isg==" workbookSaltValue="65oIzhTmT7ddryqyyYTvRw==" workbookSpinCount="100000" lockStructure="1"/>
  <bookViews>
    <workbookView xWindow="0" yWindow="0" windowWidth="20490" windowHeight="7680" tabRatio="893"/>
  </bookViews>
  <sheets>
    <sheet name="פתיח" sheetId="27" r:id="rId1"/>
    <sheet name="תוכן עיניינים" sheetId="26" r:id="rId2"/>
    <sheet name="שאלון למילוי מגיש הבקשה - חובה" sheetId="10" r:id="rId3"/>
    <sheet name="ציוד כללי" sheetId="12" r:id="rId4"/>
    <sheet name="מחשוב" sheetId="28" r:id="rId5"/>
    <sheet name="מתקני כושר לחצר" sheetId="17" r:id="rId6"/>
    <sheet name="מתקני חדר כושר" sheetId="29" r:id="rId7"/>
    <sheet name="מתקני חצר לילדים" sheetId="15" r:id="rId8"/>
    <sheet name="חוגים" sheetId="18" r:id="rId9"/>
    <sheet name="ציוד נוסף שלא קיים בתקן" sheetId="30" r:id="rId10"/>
    <sheet name="סיכום בקשת הגוף" sheetId="31" r:id="rId11"/>
    <sheet name="סיכום לוועדה" sheetId="2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1" l="1"/>
  <c r="C21" i="31"/>
  <c r="C20" i="31"/>
  <c r="C19" i="31"/>
  <c r="C18" i="31"/>
  <c r="B22" i="31"/>
  <c r="B21" i="31"/>
  <c r="B20" i="31"/>
  <c r="B19" i="31"/>
  <c r="B18" i="31"/>
  <c r="B17" i="31"/>
  <c r="B16" i="31"/>
  <c r="C13" i="31"/>
  <c r="C12" i="31"/>
  <c r="C11" i="31"/>
  <c r="B11" i="31"/>
  <c r="C10" i="31"/>
  <c r="C9" i="31"/>
  <c r="D33" i="22" l="1"/>
  <c r="H4" i="30" l="1"/>
  <c r="A1" i="30" l="1"/>
  <c r="K4" i="30" l="1"/>
  <c r="L4" i="30" s="1"/>
  <c r="K5" i="30"/>
  <c r="L5" i="30" s="1"/>
  <c r="K6" i="30"/>
  <c r="L6" i="30" s="1"/>
  <c r="K7" i="30"/>
  <c r="L7" i="30" s="1"/>
  <c r="K8" i="30"/>
  <c r="L8" i="30" s="1"/>
  <c r="K9" i="30"/>
  <c r="L9" i="30" s="1"/>
  <c r="K10" i="30"/>
  <c r="L10" i="30" s="1"/>
  <c r="K11" i="30"/>
  <c r="L11" i="30" s="1"/>
  <c r="K12" i="30"/>
  <c r="L12" i="30" s="1"/>
  <c r="K13" i="30"/>
  <c r="L13" i="30" s="1"/>
  <c r="K14" i="30"/>
  <c r="L14" i="30" s="1"/>
  <c r="K15" i="30"/>
  <c r="L15" i="30" s="1"/>
  <c r="K16" i="30"/>
  <c r="L16" i="30" s="1"/>
  <c r="K17" i="30"/>
  <c r="L17" i="30" s="1"/>
  <c r="K18" i="30"/>
  <c r="L18" i="30" s="1"/>
  <c r="K19" i="30"/>
  <c r="L19" i="30" s="1"/>
  <c r="K20" i="30"/>
  <c r="L20" i="30" s="1"/>
  <c r="K21" i="30"/>
  <c r="L21" i="30" s="1"/>
  <c r="K22" i="30"/>
  <c r="L22" i="30" s="1"/>
  <c r="K23" i="30"/>
  <c r="L23" i="30" s="1"/>
  <c r="K24" i="30"/>
  <c r="L24" i="30" s="1"/>
  <c r="K25" i="30"/>
  <c r="L25" i="30" s="1"/>
  <c r="K26" i="30"/>
  <c r="L26" i="30" s="1"/>
  <c r="K27" i="30"/>
  <c r="L27" i="30" s="1"/>
  <c r="K3" i="30"/>
  <c r="L3" i="30" s="1"/>
  <c r="N14" i="18"/>
  <c r="N12" i="18"/>
  <c r="N13" i="18"/>
  <c r="N11" i="18"/>
  <c r="N10" i="18"/>
  <c r="N9" i="18"/>
  <c r="N8" i="18"/>
  <c r="N7" i="18"/>
  <c r="N12" i="15"/>
  <c r="N11" i="15"/>
  <c r="N10" i="15"/>
  <c r="N7" i="15"/>
  <c r="N12" i="29"/>
  <c r="N10" i="29"/>
  <c r="N9" i="29"/>
  <c r="N8" i="29"/>
  <c r="N7" i="29"/>
  <c r="N11" i="17"/>
  <c r="N10" i="17"/>
  <c r="N9" i="17"/>
  <c r="N8" i="17"/>
  <c r="N7" i="17"/>
  <c r="N23" i="28"/>
  <c r="N22" i="28"/>
  <c r="N20" i="28"/>
  <c r="N19" i="28"/>
  <c r="N18" i="28"/>
  <c r="N17" i="28"/>
  <c r="N16" i="28"/>
  <c r="N15" i="28"/>
  <c r="N14" i="28"/>
  <c r="N12" i="28"/>
  <c r="N7" i="28"/>
  <c r="N53" i="12"/>
  <c r="N52" i="12"/>
  <c r="N49" i="12"/>
  <c r="N44" i="12"/>
  <c r="N38" i="12"/>
  <c r="N36" i="12"/>
  <c r="N35" i="12"/>
  <c r="N31" i="12"/>
  <c r="N29" i="12"/>
  <c r="N28" i="12"/>
  <c r="N27" i="12"/>
  <c r="N26" i="12"/>
  <c r="N23" i="12"/>
  <c r="N19" i="12"/>
  <c r="N14" i="12"/>
  <c r="N15" i="12"/>
  <c r="K22" i="12" l="1"/>
  <c r="Q22" i="12" s="1"/>
  <c r="Q18" i="12"/>
  <c r="O14" i="18" l="1"/>
  <c r="P14" i="18" s="1"/>
  <c r="O13" i="18"/>
  <c r="P13" i="18" s="1"/>
  <c r="O11" i="18"/>
  <c r="P11" i="18" s="1"/>
  <c r="O10" i="18"/>
  <c r="P10" i="18" s="1"/>
  <c r="O9" i="18"/>
  <c r="P9" i="18" s="1"/>
  <c r="O8" i="18"/>
  <c r="P8" i="18" s="1"/>
  <c r="O7" i="18"/>
  <c r="O12" i="15"/>
  <c r="P12" i="15" s="1"/>
  <c r="O11" i="15"/>
  <c r="P11" i="15" s="1"/>
  <c r="O10" i="15"/>
  <c r="P10" i="15" s="1"/>
  <c r="O12" i="29"/>
  <c r="P12" i="29" s="1"/>
  <c r="O10" i="29"/>
  <c r="P10" i="29" s="1"/>
  <c r="O9" i="29"/>
  <c r="P9" i="29" s="1"/>
  <c r="O8" i="29"/>
  <c r="P8" i="29" s="1"/>
  <c r="O7" i="29"/>
  <c r="P7" i="29" s="1"/>
  <c r="O11" i="17"/>
  <c r="P11" i="17" s="1"/>
  <c r="O10" i="17"/>
  <c r="P10" i="17" s="1"/>
  <c r="O9" i="17"/>
  <c r="P9" i="17" s="1"/>
  <c r="O8" i="17"/>
  <c r="P8" i="17" s="1"/>
  <c r="O7" i="17"/>
  <c r="P7" i="17" s="1"/>
  <c r="O23" i="28"/>
  <c r="P23" i="28" s="1"/>
  <c r="O22" i="28"/>
  <c r="P22" i="28" s="1"/>
  <c r="O20" i="28"/>
  <c r="P20" i="28" s="1"/>
  <c r="O19" i="28"/>
  <c r="P19" i="28" s="1"/>
  <c r="O18" i="28"/>
  <c r="P18" i="28" s="1"/>
  <c r="O17" i="28"/>
  <c r="P17" i="28" s="1"/>
  <c r="O16" i="28"/>
  <c r="P16" i="28" s="1"/>
  <c r="O15" i="28"/>
  <c r="P15" i="28" s="1"/>
  <c r="O14" i="28"/>
  <c r="P14" i="28" s="1"/>
  <c r="O12" i="28"/>
  <c r="P12" i="28" s="1"/>
  <c r="O7" i="28"/>
  <c r="P7" i="28" s="1"/>
  <c r="O53" i="12"/>
  <c r="O38" i="12"/>
  <c r="O35" i="12"/>
  <c r="O28" i="12"/>
  <c r="O29" i="12"/>
  <c r="O14" i="12"/>
  <c r="O19" i="12"/>
  <c r="O23" i="12"/>
  <c r="O26" i="12"/>
  <c r="O27" i="12"/>
  <c r="P7" i="18" l="1"/>
  <c r="C11" i="22"/>
  <c r="B11" i="22"/>
  <c r="C9" i="22"/>
  <c r="C10" i="22"/>
  <c r="C1" i="12"/>
  <c r="F1" i="18" l="1"/>
  <c r="F1" i="15"/>
  <c r="F1" i="29"/>
  <c r="F1" i="17"/>
  <c r="F1" i="28"/>
  <c r="L28" i="30" l="1"/>
  <c r="K23" i="28"/>
  <c r="K22" i="28"/>
  <c r="K20" i="28"/>
  <c r="K19" i="28"/>
  <c r="K18" i="28"/>
  <c r="K11" i="17"/>
  <c r="K10" i="17"/>
  <c r="K9" i="17"/>
  <c r="K8" i="17"/>
  <c r="K7" i="17"/>
  <c r="K12" i="29"/>
  <c r="K10" i="29"/>
  <c r="K9" i="29"/>
  <c r="K8" i="29"/>
  <c r="K7" i="29"/>
  <c r="K12" i="15"/>
  <c r="K11" i="15"/>
  <c r="K10" i="15"/>
  <c r="K7" i="15"/>
  <c r="K14" i="18"/>
  <c r="K13" i="18"/>
  <c r="O12" i="18"/>
  <c r="K12" i="18"/>
  <c r="K11" i="18"/>
  <c r="K10" i="18"/>
  <c r="K9" i="18"/>
  <c r="K8" i="18"/>
  <c r="K7" i="18"/>
  <c r="K17" i="28"/>
  <c r="K16" i="28"/>
  <c r="K15" i="28"/>
  <c r="K14" i="28"/>
  <c r="K12" i="28"/>
  <c r="K7" i="28"/>
  <c r="K53" i="12"/>
  <c r="K52" i="12"/>
  <c r="K49" i="12"/>
  <c r="K44" i="12"/>
  <c r="K38" i="12"/>
  <c r="K36" i="12"/>
  <c r="K35" i="12"/>
  <c r="K31" i="12"/>
  <c r="K29" i="12"/>
  <c r="K28" i="12"/>
  <c r="K27" i="12"/>
  <c r="K26" i="12"/>
  <c r="K23" i="12"/>
  <c r="K19" i="12"/>
  <c r="K15" i="12"/>
  <c r="K14" i="12"/>
  <c r="P12" i="18" l="1"/>
  <c r="O15" i="18"/>
  <c r="O13" i="15"/>
  <c r="H3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E13" i="12" l="1"/>
  <c r="I14" i="12" l="1"/>
  <c r="F14" i="12"/>
  <c r="P14" i="12" s="1"/>
  <c r="J14" i="12" l="1"/>
  <c r="C1" i="17" l="1"/>
  <c r="E7" i="22" l="1"/>
  <c r="I12" i="29" l="1"/>
  <c r="J12" i="29" s="1"/>
  <c r="F12" i="29"/>
  <c r="B4" i="17" l="1"/>
  <c r="C13" i="22" l="1"/>
  <c r="C12" i="22"/>
  <c r="B17" i="22"/>
  <c r="B18" i="22"/>
  <c r="B19" i="22"/>
  <c r="B20" i="22"/>
  <c r="B21" i="22"/>
  <c r="B22" i="22"/>
  <c r="B16" i="22"/>
  <c r="B4" i="18"/>
  <c r="E2" i="18"/>
  <c r="C2" i="18"/>
  <c r="E1" i="18"/>
  <c r="E3" i="18" s="1"/>
  <c r="C1" i="18"/>
  <c r="B4" i="15"/>
  <c r="E2" i="15"/>
  <c r="C2" i="15"/>
  <c r="E1" i="15"/>
  <c r="C1" i="15"/>
  <c r="Q13" i="29"/>
  <c r="K13" i="29"/>
  <c r="E2" i="17"/>
  <c r="C2" i="17"/>
  <c r="E1" i="17"/>
  <c r="B4" i="29"/>
  <c r="E2" i="29"/>
  <c r="C2" i="29"/>
  <c r="E1" i="29"/>
  <c r="D11" i="29" s="1"/>
  <c r="C1" i="29"/>
  <c r="Q14" i="17"/>
  <c r="K14" i="17"/>
  <c r="Q25" i="28"/>
  <c r="K25" i="28"/>
  <c r="Q24" i="28"/>
  <c r="K24" i="28"/>
  <c r="Q21" i="28"/>
  <c r="K21" i="28"/>
  <c r="Q13" i="28"/>
  <c r="K13" i="28"/>
  <c r="N11" i="29" l="1"/>
  <c r="O11" i="29" s="1"/>
  <c r="D8" i="15"/>
  <c r="E7" i="15"/>
  <c r="D13" i="17"/>
  <c r="D12" i="17"/>
  <c r="E3" i="29"/>
  <c r="E4" i="17"/>
  <c r="E4" i="15"/>
  <c r="E3" i="17"/>
  <c r="E4" i="29"/>
  <c r="E3" i="15"/>
  <c r="E4" i="18"/>
  <c r="B4" i="28"/>
  <c r="E2" i="28"/>
  <c r="C2" i="28"/>
  <c r="E1" i="28"/>
  <c r="D8" i="28" s="1"/>
  <c r="N8" i="28" s="1"/>
  <c r="O8" i="28" s="1"/>
  <c r="C1" i="28"/>
  <c r="B4" i="12"/>
  <c r="F13" i="17" l="1"/>
  <c r="F7" i="15"/>
  <c r="O7" i="15"/>
  <c r="F12" i="17"/>
  <c r="F8" i="15"/>
  <c r="O13" i="29"/>
  <c r="K11" i="29"/>
  <c r="D11" i="28"/>
  <c r="F11" i="28" s="1"/>
  <c r="D10" i="28"/>
  <c r="K13" i="17"/>
  <c r="E4" i="28"/>
  <c r="D9" i="28"/>
  <c r="K8" i="28"/>
  <c r="E3" i="28"/>
  <c r="F9" i="15" l="1"/>
  <c r="N8" i="15"/>
  <c r="O8" i="15" s="1"/>
  <c r="P8" i="15" s="1"/>
  <c r="K8" i="15"/>
  <c r="P7" i="15"/>
  <c r="K9" i="28"/>
  <c r="N9" i="28"/>
  <c r="O9" i="28" s="1"/>
  <c r="N10" i="28"/>
  <c r="O10" i="28" s="1"/>
  <c r="N12" i="17"/>
  <c r="O12" i="17" s="1"/>
  <c r="P12" i="17" s="1"/>
  <c r="I12" i="17"/>
  <c r="J12" i="17" s="1"/>
  <c r="K11" i="28"/>
  <c r="N13" i="17"/>
  <c r="O13" i="17" s="1"/>
  <c r="P13" i="17" s="1"/>
  <c r="I13" i="17"/>
  <c r="E6" i="22"/>
  <c r="C27" i="22" s="1"/>
  <c r="C22" i="22"/>
  <c r="I14" i="18"/>
  <c r="J14" i="18" s="1"/>
  <c r="F14" i="18"/>
  <c r="I13" i="18"/>
  <c r="J13" i="18" s="1"/>
  <c r="F13" i="18"/>
  <c r="Q14" i="15"/>
  <c r="K14" i="15"/>
  <c r="Q13" i="15"/>
  <c r="K13" i="15"/>
  <c r="I12" i="15"/>
  <c r="J12" i="15" s="1"/>
  <c r="F12" i="15"/>
  <c r="I11" i="15"/>
  <c r="J11" i="15" s="1"/>
  <c r="F11" i="15"/>
  <c r="I10" i="15"/>
  <c r="F10" i="15"/>
  <c r="F13" i="15" s="1"/>
  <c r="Q9" i="15"/>
  <c r="K9" i="15"/>
  <c r="I8" i="15"/>
  <c r="J8" i="15" s="1"/>
  <c r="I7" i="15"/>
  <c r="I11" i="29"/>
  <c r="F11" i="29"/>
  <c r="P11" i="29" s="1"/>
  <c r="I10" i="29"/>
  <c r="J10" i="29" s="1"/>
  <c r="F10" i="29"/>
  <c r="I9" i="29"/>
  <c r="J9" i="29" s="1"/>
  <c r="F9" i="29"/>
  <c r="I8" i="29"/>
  <c r="J8" i="29" s="1"/>
  <c r="F8" i="29"/>
  <c r="O9" i="15" l="1"/>
  <c r="O14" i="15" s="1"/>
  <c r="I13" i="15"/>
  <c r="J13" i="15" s="1"/>
  <c r="K10" i="28"/>
  <c r="N11" i="28"/>
  <c r="O11" i="28" s="1"/>
  <c r="P11" i="28" s="1"/>
  <c r="I11" i="28"/>
  <c r="J11" i="28" s="1"/>
  <c r="J11" i="29"/>
  <c r="J7" i="15"/>
  <c r="I9" i="15"/>
  <c r="I14" i="15" s="1"/>
  <c r="C28" i="22"/>
  <c r="J10" i="15"/>
  <c r="P13" i="15"/>
  <c r="P9" i="15" l="1"/>
  <c r="F14" i="15"/>
  <c r="C29" i="22"/>
  <c r="J9" i="15"/>
  <c r="I7" i="29"/>
  <c r="I13" i="29" s="1"/>
  <c r="F7" i="29"/>
  <c r="F13" i="29" s="1"/>
  <c r="I11" i="17"/>
  <c r="F11" i="17"/>
  <c r="I17" i="28"/>
  <c r="J17" i="28" s="1"/>
  <c r="F17" i="28"/>
  <c r="I12" i="28"/>
  <c r="J12" i="28" s="1"/>
  <c r="F12" i="28"/>
  <c r="I10" i="28"/>
  <c r="F10" i="28"/>
  <c r="P10" i="28" s="1"/>
  <c r="I9" i="28"/>
  <c r="J9" i="28" s="1"/>
  <c r="F9" i="28"/>
  <c r="P9" i="28" s="1"/>
  <c r="I8" i="28"/>
  <c r="F8" i="28"/>
  <c r="P8" i="28" s="1"/>
  <c r="I7" i="28"/>
  <c r="F7" i="28"/>
  <c r="J11" i="17" l="1"/>
  <c r="J8" i="28"/>
  <c r="H13" i="29"/>
  <c r="J13" i="29"/>
  <c r="J7" i="29"/>
  <c r="F13" i="28"/>
  <c r="O13" i="28"/>
  <c r="P13" i="28" s="1"/>
  <c r="J7" i="28"/>
  <c r="I13" i="28"/>
  <c r="J10" i="28"/>
  <c r="E2" i="12"/>
  <c r="E49" i="12" s="1"/>
  <c r="D16" i="12" l="1"/>
  <c r="N16" i="12"/>
  <c r="O16" i="12" s="1"/>
  <c r="O49" i="12"/>
  <c r="P13" i="29"/>
  <c r="C19" i="22"/>
  <c r="D50" i="12"/>
  <c r="F16" i="12"/>
  <c r="D13" i="12"/>
  <c r="D7" i="12"/>
  <c r="F7" i="12" s="1"/>
  <c r="J13" i="28"/>
  <c r="D21" i="12"/>
  <c r="D20" i="12"/>
  <c r="D33" i="12"/>
  <c r="D17" i="12"/>
  <c r="F53" i="12"/>
  <c r="P53" i="12" s="1"/>
  <c r="I53" i="12"/>
  <c r="J53" i="12" s="1"/>
  <c r="F22" i="28"/>
  <c r="I22" i="28"/>
  <c r="F23" i="28"/>
  <c r="I23" i="28"/>
  <c r="J23" i="28" s="1"/>
  <c r="F18" i="28"/>
  <c r="I18" i="28"/>
  <c r="F19" i="28"/>
  <c r="I19" i="28"/>
  <c r="J19" i="28" s="1"/>
  <c r="F20" i="28"/>
  <c r="I20" i="28"/>
  <c r="J20" i="28" s="1"/>
  <c r="I16" i="28"/>
  <c r="J16" i="28" s="1"/>
  <c r="F16" i="28"/>
  <c r="I15" i="28"/>
  <c r="J15" i="28" s="1"/>
  <c r="F15" i="28"/>
  <c r="I14" i="28"/>
  <c r="F14" i="28"/>
  <c r="P16" i="12" l="1"/>
  <c r="N21" i="12"/>
  <c r="O21" i="12" s="1"/>
  <c r="K17" i="12"/>
  <c r="N17" i="12"/>
  <c r="O17" i="12" s="1"/>
  <c r="N20" i="12"/>
  <c r="O20" i="12" s="1"/>
  <c r="K13" i="12"/>
  <c r="N13" i="12"/>
  <c r="O13" i="12" s="1"/>
  <c r="N50" i="12"/>
  <c r="O50" i="12" s="1"/>
  <c r="K33" i="12"/>
  <c r="N33" i="12"/>
  <c r="O33" i="12" s="1"/>
  <c r="N7" i="12"/>
  <c r="O7" i="12" s="1"/>
  <c r="K16" i="12"/>
  <c r="F13" i="12"/>
  <c r="F17" i="12"/>
  <c r="O24" i="28"/>
  <c r="J22" i="28"/>
  <c r="I24" i="28"/>
  <c r="F24" i="28"/>
  <c r="J18" i="28"/>
  <c r="J14" i="28"/>
  <c r="I21" i="28"/>
  <c r="O21" i="28"/>
  <c r="F21" i="28"/>
  <c r="O22" i="12" l="1"/>
  <c r="P22" i="12" s="1"/>
  <c r="P17" i="12"/>
  <c r="P13" i="12"/>
  <c r="K7" i="12"/>
  <c r="K50" i="12"/>
  <c r="K20" i="12"/>
  <c r="K21" i="12"/>
  <c r="F25" i="28"/>
  <c r="P21" i="28"/>
  <c r="O25" i="28"/>
  <c r="J21" i="28"/>
  <c r="I25" i="28"/>
  <c r="C17" i="31" s="1"/>
  <c r="J24" i="28"/>
  <c r="P24" i="28"/>
  <c r="C20" i="22"/>
  <c r="P25" i="28" l="1"/>
  <c r="C17" i="22"/>
  <c r="H25" i="28"/>
  <c r="J25" i="28"/>
  <c r="F7" i="18"/>
  <c r="F8" i="18"/>
  <c r="C2" i="12"/>
  <c r="I23" i="12" l="1"/>
  <c r="I26" i="12"/>
  <c r="I27" i="12"/>
  <c r="I28" i="12"/>
  <c r="I29" i="12"/>
  <c r="E1" i="12" l="1"/>
  <c r="E52" i="12" l="1"/>
  <c r="O52" i="12" s="1"/>
  <c r="O54" i="12" s="1"/>
  <c r="P54" i="12" s="1"/>
  <c r="E15" i="12"/>
  <c r="O15" i="12" s="1"/>
  <c r="D12" i="12"/>
  <c r="D11" i="12"/>
  <c r="D45" i="12"/>
  <c r="D41" i="12"/>
  <c r="E31" i="12"/>
  <c r="D10" i="12"/>
  <c r="D8" i="12"/>
  <c r="E36" i="12"/>
  <c r="O36" i="12" s="1"/>
  <c r="D9" i="12"/>
  <c r="D25" i="12"/>
  <c r="D37" i="12"/>
  <c r="D24" i="12"/>
  <c r="E4" i="12"/>
  <c r="D48" i="12"/>
  <c r="D40" i="12"/>
  <c r="D43" i="12"/>
  <c r="D42" i="12"/>
  <c r="D47" i="12"/>
  <c r="D30" i="12"/>
  <c r="E44" i="12"/>
  <c r="O44" i="12" s="1"/>
  <c r="E3" i="12"/>
  <c r="I11" i="18"/>
  <c r="J11" i="18" s="1"/>
  <c r="F11" i="18"/>
  <c r="F7" i="17"/>
  <c r="F8" i="17"/>
  <c r="F9" i="17"/>
  <c r="F10" i="17"/>
  <c r="F9" i="18"/>
  <c r="F10" i="18"/>
  <c r="F12" i="18"/>
  <c r="N48" i="12" l="1"/>
  <c r="O48" i="12" s="1"/>
  <c r="N10" i="12"/>
  <c r="O10" i="12" s="1"/>
  <c r="N12" i="12"/>
  <c r="O12" i="12" s="1"/>
  <c r="N43" i="12"/>
  <c r="O43" i="12" s="1"/>
  <c r="N41" i="12"/>
  <c r="O41" i="12" s="1"/>
  <c r="N47" i="12"/>
  <c r="O47" i="12" s="1"/>
  <c r="N11" i="12"/>
  <c r="O11" i="12" s="1"/>
  <c r="I11" i="12"/>
  <c r="N42" i="12"/>
  <c r="O42" i="12" s="1"/>
  <c r="I31" i="12"/>
  <c r="O31" i="12"/>
  <c r="N40" i="12"/>
  <c r="O40" i="12" s="1"/>
  <c r="N8" i="12"/>
  <c r="O8" i="12" s="1"/>
  <c r="N45" i="12"/>
  <c r="O45" i="12" s="1"/>
  <c r="K11" i="12"/>
  <c r="F11" i="12"/>
  <c r="I15" i="12"/>
  <c r="F15" i="12"/>
  <c r="P15" i="12" s="1"/>
  <c r="F14" i="17"/>
  <c r="F30" i="12"/>
  <c r="F37" i="12"/>
  <c r="F9" i="12"/>
  <c r="F10" i="12"/>
  <c r="F15" i="18"/>
  <c r="F8" i="12"/>
  <c r="F12" i="12"/>
  <c r="P11" i="12" l="1"/>
  <c r="O51" i="12"/>
  <c r="P51" i="12" s="1"/>
  <c r="O46" i="12"/>
  <c r="P46" i="12" s="1"/>
  <c r="P10" i="12"/>
  <c r="N24" i="12"/>
  <c r="O24" i="12" s="1"/>
  <c r="I24" i="12"/>
  <c r="N25" i="12"/>
  <c r="O25" i="12" s="1"/>
  <c r="I25" i="12"/>
  <c r="P12" i="12"/>
  <c r="K8" i="12"/>
  <c r="K40" i="12"/>
  <c r="K42" i="12"/>
  <c r="P8" i="12"/>
  <c r="N30" i="12"/>
  <c r="O30" i="12" s="1"/>
  <c r="P30" i="12" s="1"/>
  <c r="I30" i="12"/>
  <c r="J30" i="12" s="1"/>
  <c r="N9" i="12"/>
  <c r="O9" i="12" s="1"/>
  <c r="P9" i="12" s="1"/>
  <c r="I9" i="12"/>
  <c r="J9" i="12" s="1"/>
  <c r="K47" i="12"/>
  <c r="K24" i="12"/>
  <c r="K12" i="12"/>
  <c r="K25" i="12"/>
  <c r="J15" i="12"/>
  <c r="N37" i="12"/>
  <c r="O37" i="12" s="1"/>
  <c r="P37" i="12" s="1"/>
  <c r="I37" i="12"/>
  <c r="J37" i="12" s="1"/>
  <c r="K45" i="12"/>
  <c r="K37" i="12"/>
  <c r="K30" i="12"/>
  <c r="K9" i="12"/>
  <c r="K41" i="12"/>
  <c r="K43" i="12"/>
  <c r="K10" i="12"/>
  <c r="K48" i="12"/>
  <c r="F28" i="12"/>
  <c r="P28" i="12" s="1"/>
  <c r="I32" i="12" l="1"/>
  <c r="O18" i="12"/>
  <c r="P18" i="12" s="1"/>
  <c r="O32" i="12"/>
  <c r="P32" i="12" s="1"/>
  <c r="J28" i="12"/>
  <c r="I7" i="18"/>
  <c r="I8" i="18"/>
  <c r="J8" i="18" s="1"/>
  <c r="I9" i="18"/>
  <c r="J9" i="18" s="1"/>
  <c r="I10" i="18"/>
  <c r="J10" i="18" s="1"/>
  <c r="I12" i="18"/>
  <c r="J12" i="18" s="1"/>
  <c r="I9" i="17"/>
  <c r="I10" i="17"/>
  <c r="J10" i="17" s="1"/>
  <c r="I8" i="17"/>
  <c r="J8" i="17" s="1"/>
  <c r="I7" i="17"/>
  <c r="J9" i="17" l="1"/>
  <c r="I14" i="17"/>
  <c r="J7" i="17"/>
  <c r="J7" i="18"/>
  <c r="I15" i="18"/>
  <c r="H15" i="18" l="1"/>
  <c r="H14" i="17"/>
  <c r="Q55" i="12"/>
  <c r="I48" i="12"/>
  <c r="I49" i="12"/>
  <c r="I50" i="12"/>
  <c r="I41" i="12"/>
  <c r="I42" i="12"/>
  <c r="I43" i="12"/>
  <c r="I44" i="12"/>
  <c r="I45" i="12"/>
  <c r="I35" i="12"/>
  <c r="I36" i="12"/>
  <c r="I38" i="12"/>
  <c r="I17" i="12"/>
  <c r="I21" i="12"/>
  <c r="I19" i="12"/>
  <c r="I8" i="12"/>
  <c r="I10" i="12"/>
  <c r="I12" i="12"/>
  <c r="I20" i="12"/>
  <c r="I13" i="12"/>
  <c r="I16" i="12"/>
  <c r="I40" i="12"/>
  <c r="I47" i="12"/>
  <c r="I22" i="12" l="1"/>
  <c r="I46" i="12"/>
  <c r="I51" i="12"/>
  <c r="I33" i="12"/>
  <c r="K55" i="12"/>
  <c r="O14" i="17" l="1"/>
  <c r="C18" i="22" s="1"/>
  <c r="C21" i="22"/>
  <c r="I7" i="12"/>
  <c r="I18" i="12" s="1"/>
  <c r="F44" i="12"/>
  <c r="F45" i="12"/>
  <c r="F35" i="12"/>
  <c r="F36" i="12"/>
  <c r="F38" i="12"/>
  <c r="F24" i="12"/>
  <c r="P24" i="12" s="1"/>
  <c r="F25" i="12"/>
  <c r="F26" i="12"/>
  <c r="F27" i="12"/>
  <c r="F29" i="12"/>
  <c r="F31" i="12"/>
  <c r="F23" i="12"/>
  <c r="P23" i="12" s="1"/>
  <c r="F19" i="12"/>
  <c r="P19" i="12" s="1"/>
  <c r="F21" i="12"/>
  <c r="P21" i="12" s="1"/>
  <c r="P7" i="12"/>
  <c r="J26" i="12" l="1"/>
  <c r="P26" i="12"/>
  <c r="J31" i="12"/>
  <c r="P31" i="12"/>
  <c r="J25" i="12"/>
  <c r="P25" i="12"/>
  <c r="J35" i="12"/>
  <c r="P35" i="12"/>
  <c r="J29" i="12"/>
  <c r="P29" i="12"/>
  <c r="J45" i="12"/>
  <c r="P45" i="12"/>
  <c r="J36" i="12"/>
  <c r="P36" i="12"/>
  <c r="J27" i="12"/>
  <c r="P27" i="12"/>
  <c r="J38" i="12"/>
  <c r="P38" i="12"/>
  <c r="J44" i="12"/>
  <c r="P44" i="12"/>
  <c r="F18" i="12"/>
  <c r="J23" i="12"/>
  <c r="F32" i="12"/>
  <c r="J19" i="12"/>
  <c r="J21" i="12"/>
  <c r="J16" i="12"/>
  <c r="J7" i="12"/>
  <c r="J24" i="12"/>
  <c r="J32" i="12" l="1"/>
  <c r="F42" i="12"/>
  <c r="P42" i="12" s="1"/>
  <c r="F50" i="12"/>
  <c r="F20" i="12"/>
  <c r="F48" i="12"/>
  <c r="P48" i="12" s="1"/>
  <c r="J13" i="12"/>
  <c r="D34" i="12"/>
  <c r="F41" i="12"/>
  <c r="P41" i="12" s="1"/>
  <c r="F49" i="12"/>
  <c r="P49" i="12" s="1"/>
  <c r="F40" i="12"/>
  <c r="P40" i="12" s="1"/>
  <c r="F47" i="12"/>
  <c r="P47" i="12" s="1"/>
  <c r="I52" i="12"/>
  <c r="I54" i="12" s="1"/>
  <c r="F43" i="12"/>
  <c r="P43" i="12" s="1"/>
  <c r="J8" i="12"/>
  <c r="J50" i="12" l="1"/>
  <c r="P50" i="12"/>
  <c r="F22" i="12"/>
  <c r="P20" i="12"/>
  <c r="J49" i="12"/>
  <c r="F46" i="12"/>
  <c r="F51" i="12"/>
  <c r="F34" i="12"/>
  <c r="J14" i="15"/>
  <c r="H14" i="15"/>
  <c r="P14" i="15"/>
  <c r="F33" i="12"/>
  <c r="P33" i="12" s="1"/>
  <c r="J42" i="12"/>
  <c r="J48" i="12"/>
  <c r="J43" i="12"/>
  <c r="J47" i="12"/>
  <c r="J12" i="12"/>
  <c r="J10" i="12"/>
  <c r="J41" i="12"/>
  <c r="J20" i="12"/>
  <c r="J17" i="12"/>
  <c r="F52" i="12"/>
  <c r="P52" i="12" s="1"/>
  <c r="J40" i="12"/>
  <c r="N34" i="12" l="1"/>
  <c r="O34" i="12" s="1"/>
  <c r="I34" i="12"/>
  <c r="K34" i="12"/>
  <c r="F54" i="12"/>
  <c r="F39" i="12"/>
  <c r="J15" i="18"/>
  <c r="J33" i="12"/>
  <c r="J52" i="12"/>
  <c r="J46" i="12"/>
  <c r="J51" i="12"/>
  <c r="J54" i="12" l="1"/>
  <c r="I39" i="12"/>
  <c r="I55" i="12" s="1"/>
  <c r="C16" i="31" s="1"/>
  <c r="C23" i="31" s="1"/>
  <c r="J34" i="12"/>
  <c r="P34" i="12"/>
  <c r="O39" i="12"/>
  <c r="P39" i="12" s="1"/>
  <c r="F55" i="12"/>
  <c r="P14" i="17"/>
  <c r="J14" i="17"/>
  <c r="P15" i="18"/>
  <c r="J18" i="12"/>
  <c r="J22" i="12"/>
  <c r="H55" i="12" l="1"/>
  <c r="J39" i="12"/>
  <c r="O55" i="12"/>
  <c r="J55" i="12"/>
  <c r="P55" i="12" l="1"/>
  <c r="C16" i="22"/>
  <c r="C23" i="22" s="1"/>
  <c r="D42" i="22" s="1"/>
  <c r="D27" i="22" l="1"/>
  <c r="D28" i="22"/>
  <c r="D40" i="22" l="1"/>
  <c r="C40" i="22" s="1"/>
  <c r="C33" i="22"/>
  <c r="D29" i="22"/>
  <c r="D35" i="22"/>
  <c r="D34" i="22" s="1"/>
  <c r="C34" i="22" s="1"/>
  <c r="H28" i="30"/>
  <c r="D41" i="22" l="1"/>
  <c r="C41" i="22" s="1"/>
  <c r="C42" i="22" s="1"/>
  <c r="C35" i="22"/>
</calcChain>
</file>

<file path=xl/sharedStrings.xml><?xml version="1.0" encoding="utf-8"?>
<sst xmlns="http://schemas.openxmlformats.org/spreadsheetml/2006/main" count="403" uniqueCount="237">
  <si>
    <t>סוג הריהוט / ציוד</t>
  </si>
  <si>
    <t>כמות מבוקשת</t>
  </si>
  <si>
    <t xml:space="preserve">ציוד וריהוט כללי </t>
  </si>
  <si>
    <t xml:space="preserve">ארון תצוגה </t>
  </si>
  <si>
    <t>סה"כ</t>
  </si>
  <si>
    <t xml:space="preserve">מדיח כלים </t>
  </si>
  <si>
    <t>מערבל מזון</t>
  </si>
  <si>
    <t xml:space="preserve">שולחן מחשב </t>
  </si>
  <si>
    <t>מגרסת נייר</t>
  </si>
  <si>
    <t>ציוד בטיחות</t>
  </si>
  <si>
    <t xml:space="preserve">שולחנות חשמליים מתכווננים למחשב </t>
  </si>
  <si>
    <t xml:space="preserve">תוכנה קולית למחשב </t>
  </si>
  <si>
    <t xml:space="preserve">תוכנת הגדלה למחשב </t>
  </si>
  <si>
    <t>מתקן פרפר חזה</t>
  </si>
  <si>
    <t>מתקן אופני ידיים רגליים</t>
  </si>
  <si>
    <t>מתקן אופני ספיננג</t>
  </si>
  <si>
    <t>מוזיקה</t>
  </si>
  <si>
    <t>ספורט</t>
  </si>
  <si>
    <t>כתובת הגוף המבקש:</t>
  </si>
  <si>
    <t>שם המסגרת:</t>
  </si>
  <si>
    <t>כתובת המסגרת:</t>
  </si>
  <si>
    <t>דירוג סוציואקונומי של הישוב (לבחור):</t>
  </si>
  <si>
    <t>תאריך הגשת הבקשה:</t>
  </si>
  <si>
    <t>תקן</t>
  </si>
  <si>
    <t>תיאור</t>
  </si>
  <si>
    <t>סה"כ ציוד וריהוט כללי</t>
  </si>
  <si>
    <t>סה"כ  ציוד מטבח וחדר אוכל - בסיסי</t>
  </si>
  <si>
    <t>ציוד מטבח וחדר אוכל - בסיסי</t>
  </si>
  <si>
    <t>סה"כ ציוד פנאי בדיור</t>
  </si>
  <si>
    <t>ריהוט גינה</t>
  </si>
  <si>
    <t>סה"כ ריהוט גינה</t>
  </si>
  <si>
    <t>סה"כ ציוד בטיחות</t>
  </si>
  <si>
    <t>תקציב מבוקש לקבוצה</t>
  </si>
  <si>
    <t>סטייה מהתקן</t>
  </si>
  <si>
    <t>בקשת הגוף</t>
  </si>
  <si>
    <t>הערות הרכז</t>
  </si>
  <si>
    <t>כמות מאושרת</t>
  </si>
  <si>
    <t>תקציב מאושר</t>
  </si>
  <si>
    <t xml:space="preserve">ברקו </t>
  </si>
  <si>
    <t>כסא</t>
  </si>
  <si>
    <t>ציוד חוגים</t>
  </si>
  <si>
    <t>סה"כ ציוד חוגים</t>
  </si>
  <si>
    <t>חוגים אחרים</t>
  </si>
  <si>
    <t>מעבד מזון</t>
  </si>
  <si>
    <t>השקעות אחרות</t>
  </si>
  <si>
    <t>סה"כ השקעות אחרות</t>
  </si>
  <si>
    <t>כספת (מתאימה לאחסון וטעינת טאבלטים)</t>
  </si>
  <si>
    <t>הערות:</t>
  </si>
  <si>
    <t>משתתפים</t>
  </si>
  <si>
    <t>לא יינתן סיוע לרכישת ציוד מתכלה</t>
  </si>
  <si>
    <t>מספר משתתפים בפרויקט:</t>
  </si>
  <si>
    <t>תאריך הגשה:</t>
  </si>
  <si>
    <t xml:space="preserve">על הגוף המבקש להוכיח שקיימים לו משאבים וכ"א נדרש להפעלת הפעילות המבוקשת </t>
  </si>
  <si>
    <t>לא יינתן סיוע לעבודות תשתית, פיתוח ושיפוץ</t>
  </si>
  <si>
    <t>*</t>
  </si>
  <si>
    <t>הערות והסברים למילוי הבקשה:</t>
  </si>
  <si>
    <t>התקנת חלק מהציוד דורשת עבודות פיתוח, תשתיות ושיפוץ. במסגרת התקן לא ינתן מימון לעבודות הנ"ל</t>
  </si>
  <si>
    <t xml:space="preserve">נא להתייחס אך ורק לרכישת הציוד החסר להפעלת התוכנית </t>
  </si>
  <si>
    <t xml:space="preserve">נא להתייחס להערות בכל הגיליון לגבי הדרישות למשאבים, כ"א, תקנים, מתן  פירוט והסברים  </t>
  </si>
  <si>
    <t>ציוד פנאי בידור</t>
  </si>
  <si>
    <t>סה"כ ציוד פנאי בידור</t>
  </si>
  <si>
    <t>**</t>
  </si>
  <si>
    <t>מזגנים - אין הכוונה למערכות מזוג. כמות המזגנים מותנת במספר החדרים הייעודיים</t>
  </si>
  <si>
    <t>כמות תקן למסגרת</t>
  </si>
  <si>
    <t xml:space="preserve">בישול </t>
  </si>
  <si>
    <t>כל מחירי התקן כוללים מע"מ בשיעור של 17%</t>
  </si>
  <si>
    <t>הבהרות</t>
  </si>
  <si>
    <t>נא למלא את השאלון לעיל לפני מעבר לכתב הכמויות</t>
  </si>
  <si>
    <t>שאלון למילוי ע"י  מגיש הבקשה:</t>
  </si>
  <si>
    <t>פתיח</t>
  </si>
  <si>
    <t>ציוד כללי</t>
  </si>
  <si>
    <t xml:space="preserve">שאלון למילוי מגיש הבקשה </t>
  </si>
  <si>
    <t>סוג הקבוצה:</t>
  </si>
  <si>
    <t>מתקני חצר לילדים</t>
  </si>
  <si>
    <t xml:space="preserve">התקן מהווה רשימת ציוד מומלצת אשר ניתן לבחור מתוכה את פרטי הציוד הדרושים. </t>
  </si>
  <si>
    <t xml:space="preserve">ניתן להשתמש בתקן בצורה מודולרית בהתאם למספר המשתתפים, גודל המקום והתכנים המופעלים בו. </t>
  </si>
  <si>
    <t xml:space="preserve">מערכת הגברה סביבתית ומערכת עזר לשמיעה </t>
  </si>
  <si>
    <t>חוג עיצוב וייצור מוצרים: מדפסת תלת מימד (נדרש מדריך בעל ידע מוכח בעיצוב גרפי ו/או בעיצוב המוצר ובהפעלת הציוד)</t>
  </si>
  <si>
    <t>נקלט אוטומטית מהשאלון למילוי מגיש הבקשה</t>
  </si>
  <si>
    <t>מיחשוב לחוג מחשבים</t>
  </si>
  <si>
    <t>מיחשוב למסגרת</t>
  </si>
  <si>
    <t>מספר חדרי פעילות</t>
  </si>
  <si>
    <t xml:space="preserve">מיקרוגל </t>
  </si>
  <si>
    <t xml:space="preserve">מקלדת ארגונומית </t>
  </si>
  <si>
    <t xml:space="preserve">עכבר ארגונומי </t>
  </si>
  <si>
    <t>גורם מממן</t>
  </si>
  <si>
    <t>אחוז מימון</t>
  </si>
  <si>
    <t xml:space="preserve">סכום מימון </t>
  </si>
  <si>
    <t>אחוז מימון מקסימלי-ביטוח לאומי</t>
  </si>
  <si>
    <t>מימון עצמי</t>
  </si>
  <si>
    <t>סה"כ מיחשוב למסגרת</t>
  </si>
  <si>
    <t>ארונות ומידוף</t>
  </si>
  <si>
    <t>סה"כ ארונות ומידוף</t>
  </si>
  <si>
    <t xml:space="preserve">תקציב למתקני חצר בוגרים </t>
  </si>
  <si>
    <t>אליפטיקל מקצועי</t>
  </si>
  <si>
    <t>אופני כושר עם משענת גב + מסך טלויזיה</t>
  </si>
  <si>
    <t>סה"כ מתקני חצר לילדים</t>
  </si>
  <si>
    <t>מתקני מוסיקה לחצר</t>
  </si>
  <si>
    <t>מטלופון</t>
  </si>
  <si>
    <t>קסילופון</t>
  </si>
  <si>
    <t>סה"כ מתקני מוסיקה לחצר</t>
  </si>
  <si>
    <t>סה"כ  תקציב  למתקני חצר ומתקני מוסיקה לחצר</t>
  </si>
  <si>
    <t>התניות לאישור מתקני חצר:</t>
  </si>
  <si>
    <t xml:space="preserve">במסגרת התקן לא ניתן לבקש מימון להצללה </t>
  </si>
  <si>
    <t>מותנה באיש מקצוע שילווה את הפעילות</t>
  </si>
  <si>
    <t>התניות לאישור מתקני חדר כושר:</t>
  </si>
  <si>
    <t>בכפוף לתוכנית העמדה ולחדר יעודי לנושא</t>
  </si>
  <si>
    <t>סה"כ תקציב לחוגים</t>
  </si>
  <si>
    <t>פירוט הציוד/הפריט</t>
  </si>
  <si>
    <t>תיאור הצורך בפריט/בציוד</t>
  </si>
  <si>
    <t>סה"כ מחיר לפי ההצעה הזולה (ב - ₪, כולל מע"מ)</t>
  </si>
  <si>
    <t>ציוד נוסף שלא קיים בתקן</t>
  </si>
  <si>
    <t>מחשוב</t>
  </si>
  <si>
    <t>קטגוריית ציוד</t>
  </si>
  <si>
    <t>מספר חדרי פעילות:</t>
  </si>
  <si>
    <t>סה"כ לפרוייקט</t>
  </si>
  <si>
    <t>דו"ח סיכום פרויקט בקשת הצטיידות</t>
  </si>
  <si>
    <t>דירוג אשכול סוציו אקונומי:</t>
  </si>
  <si>
    <t>(מ-10 עד 100)</t>
  </si>
  <si>
    <t>סה"כ מיחשוב לחוג מחשבים</t>
  </si>
  <si>
    <t>סה"כ מחשבים</t>
  </si>
  <si>
    <t>תוכנות מיוחדות</t>
  </si>
  <si>
    <t>תנור אפיה + כיריים חשמלי</t>
  </si>
  <si>
    <t>חדר כושר</t>
  </si>
  <si>
    <t>מתקני חדר כושר</t>
  </si>
  <si>
    <t>כמות תקן מודגש - משתנה לפי כמות משתתפים</t>
  </si>
  <si>
    <t>מחיר ליחידה מודגש - המחיר ליחידה  משתנה בהתאם לכמות משתתפים</t>
  </si>
  <si>
    <t>קו עימות</t>
  </si>
  <si>
    <t>הערות/ הסבר לחריגה בכמות מעל לתקן</t>
  </si>
  <si>
    <t>סך בקשת הגוף שאושרה ע"י מנהל/ת התכנית (בש"ח וכולל מע"מ)</t>
  </si>
  <si>
    <t>אישור מנהל/ת התכנית</t>
  </si>
  <si>
    <t>מתקני כושר לחצר</t>
  </si>
  <si>
    <t xml:space="preserve">מתקן דחיקת כתפיים </t>
  </si>
  <si>
    <t xml:space="preserve">כסא שירותים מתכוונן </t>
  </si>
  <si>
    <t>מסלול הליכה מקצועי</t>
  </si>
  <si>
    <t>המחירים כוללים הובלה והתקנה של הציוד</t>
  </si>
  <si>
    <t>כמות מצלמות תקן: מצלמה אחת לכל חדר פעילות  בתוספת 50% מהכמות הנ"ל למקומות משותפים</t>
  </si>
  <si>
    <t>התחשיב - עלות מערכת ותקנה  5,000 ₪  +  מצלמה אחת * כמות חדרי פעילות * 1,000 ₪  *  1.5 למקומות משותפים</t>
  </si>
  <si>
    <t>מתקן מאמן אגן שרירי בטן ישבן וירכיים בתנועת מטוטלת</t>
  </si>
  <si>
    <t>מתקן לחיצת חזה בישיבה</t>
  </si>
  <si>
    <t>המלצת הרכזת</t>
  </si>
  <si>
    <t xml:space="preserve">מטרת התקן לסייע לגופים המפעילים מסגרות חברתיות לבנות את רשימת הציוד בהתאם להיקף ולסוג פעילותם. </t>
  </si>
  <si>
    <t>* התקן אינו מיועד להחליף ציוד שהתבלה. מיועד לפעילויות חדשות והרחבת פעילויות קיימות.</t>
  </si>
  <si>
    <t>* הסיוע ינתן בהתאם למספר הנהנים במסגרת ומספר חדרי הפעילות והתאמתם לפעילות</t>
  </si>
  <si>
    <t>* הסכומים כוללים הובלה והתקנה.</t>
  </si>
  <si>
    <t xml:space="preserve">הגשת בקשה להצטיידות לפי תקן כפופה לתנאי הסף המופיעים בקול קורא  ולהיקף הסיוע המוגדר בקול הקורא. </t>
  </si>
  <si>
    <t>יש למלא סכום מקסימלי לפי קול קורא</t>
  </si>
  <si>
    <t>* יש למלא את גיליון השאלון למילוי מגיש הבקשה במלואו</t>
  </si>
  <si>
    <t xml:space="preserve">לא מיועד למסגרות שקבלו סיוע מביטוח לאומי ברכישת מזגנים בשלב הבניה במשך 5 שנים אחרונות </t>
  </si>
  <si>
    <t>מצלמות אבטחה מיועדות אך ורק לחללים בהם קיימת פעילות ייעודית לאנשים עם מוגבלות</t>
  </si>
  <si>
    <t>הצעת מחיר א' (ב - ₪ כולל מע"מ)</t>
  </si>
  <si>
    <t>הצעת מחיר ב' (ב - ₪, כולל מע"מ)</t>
  </si>
  <si>
    <t>שם הגוף המבקש:</t>
  </si>
  <si>
    <t>איש קשר בגוף המבקש:</t>
  </si>
  <si>
    <t>טלפון איש קשר בגוף המבקש:</t>
  </si>
  <si>
    <t>מייל איש קשר בגוף המבקש:</t>
  </si>
  <si>
    <t>איש קשר במסגרת:</t>
  </si>
  <si>
    <t>טלפון איש קשר במסגרת:</t>
  </si>
  <si>
    <t>מייל איש קשר במסגרת:</t>
  </si>
  <si>
    <t>מאפייני המקום</t>
  </si>
  <si>
    <t>פרטי המסגרת</t>
  </si>
  <si>
    <t>פרטי הגוף המבקש</t>
  </si>
  <si>
    <t>מחשב כולל מקלדת ועכבר</t>
  </si>
  <si>
    <t>תאורת חירום (לפי מספר חדרים בתוספת 30%)</t>
  </si>
  <si>
    <t>כורסה  לחדר פעילות (5 לקטן, 10 לגדול)</t>
  </si>
  <si>
    <t>פוף לחדר פעילות (5 לקטן, 10 לגדול)</t>
  </si>
  <si>
    <t>מכונת שטיפת רצפות (קטן 15,000 ₪, גדול 25,000 ₪)</t>
  </si>
  <si>
    <t>מידוף (לפי מספר חדרים)</t>
  </si>
  <si>
    <t>תיק עזרה ראשונה (1 לקטן, 2 לגדול)</t>
  </si>
  <si>
    <t>עיצוב פנים (15,000 ש"ח לקטן, 25,000 ש"ח לגדול)</t>
  </si>
  <si>
    <t>מטף כיבוי אש 6 ק"ג  (3 לקטן, 4 לגדול)</t>
  </si>
  <si>
    <t>פח זבל גינה  (2 לקטן, 4 לגדול)</t>
  </si>
  <si>
    <t>נדנדה לחצר (2 לקטן, 3 לגדול)</t>
  </si>
  <si>
    <t>ספסל גינה (2 לקטן, 3 לגדול)</t>
  </si>
  <si>
    <t>סט ריהוט לגינה הכולל שולחן ושישה כסאות (2 לקטן, 4 לגדול)</t>
  </si>
  <si>
    <t>לוח כתיבה מחיק (לפי מספר החדרים)</t>
  </si>
  <si>
    <t>כיסאות פעילות (לפי מספר האנשים בתוספת 10% )</t>
  </si>
  <si>
    <t>מזגנים כולל התקנה (לפי מספר חדרים)*</t>
  </si>
  <si>
    <t>בידורית (1 לקטן, 2 לגדול)</t>
  </si>
  <si>
    <t xml:space="preserve">מתקן תליה לטלוויזיה </t>
  </si>
  <si>
    <t>כלי מטבח- תקציב כללי (2,000 ש"ח לקטן, 4,000 ש"ח לגדול)</t>
  </si>
  <si>
    <t>סט כלי אוכל אישיים (לפי מספר אנשים בתוספת 20%)</t>
  </si>
  <si>
    <t>מקרר 600 ליטר (1 לקטן, 2 לגדול)</t>
  </si>
  <si>
    <t xml:space="preserve">מתקן למים חמים/ קרים (1 לקטן, 2 לגדול) </t>
  </si>
  <si>
    <t>משטח גומי - עלות למ"ר (כמות 50 מ"ר לקטן, 100 מ"ר לגדול)</t>
  </si>
  <si>
    <t>מדרגה אירובית  (2 לקטן, 3 לגדול)</t>
  </si>
  <si>
    <t>משטח גומי - עלות למ"ר  (כמות 50 מ"ר לקטן, 100 מ"ר לגדול)</t>
  </si>
  <si>
    <t>מחשב כולל מערכת הפעלה, אופיס ואביזרים (2 לקטן, 4 לגדול)</t>
  </si>
  <si>
    <t>שולחן מחשב (2 לקטן, 4 לגדול)</t>
  </si>
  <si>
    <t>כסא מחשב  (2 לקטן, 4 לגדול)</t>
  </si>
  <si>
    <t>מדפסת משולבת  (1 לקטן, 2 לגדול)</t>
  </si>
  <si>
    <t>מספר האנשים שעבורם מיועד הפרויקט:</t>
  </si>
  <si>
    <t>קו עימות:</t>
  </si>
  <si>
    <t>משחקי חברה (תקציב כולל: 2,000 ש"ח לקטן, 4,000 ש"ח לגדול)</t>
  </si>
  <si>
    <t>תחום פעילות/ קבוצת ההוצאות</t>
  </si>
  <si>
    <t xml:space="preserve">מחסן גינה (3,000 ₪ לקטן, 5,000 ₪ לגדול) </t>
  </si>
  <si>
    <t>אנשים</t>
  </si>
  <si>
    <t xml:space="preserve">סט לפינת המתנה (שולחן + כיסאות) ( סט 1 לקטן, 2 לגדול) </t>
  </si>
  <si>
    <t xml:space="preserve">וילונות חסיני אש  (גודל הווילון 12 מ"ר, כמות -לפי מס' חדרים ובתוספת  30% למתחם כללי) </t>
  </si>
  <si>
    <t>ארון אחסון (לפי מס' חדרים- 2 לחדר)</t>
  </si>
  <si>
    <t>מתקן כושר לחצר מותאם לאנשים עם כיסא גלגלים  (כמות :  1  לקטן,  2  לגדול)</t>
  </si>
  <si>
    <t>שני מתקנים מונגשים מותאמים לאנשים עם כיסאות גלגלים</t>
  </si>
  <si>
    <t>התקן כולל משטח גומי אך אינו כולל תשתית הנדרשת להנחת משטח הגומי</t>
  </si>
  <si>
    <t>לאישור הוועדה</t>
  </si>
  <si>
    <t>אחוז מימון מקסימלי לפי דירוג אשכול לאישור הוועדה (לפי אחוז השתתפות בט"ל וללא התחשבות בתקציב הסיוע המקסימלי בקול קורא)</t>
  </si>
  <si>
    <t>אחוז מימון מקסימלי לפי דירוג אשכול לאישור הוועדה (אחוז השתתפות בט"ל בהתחשב בתקציב הסיוע המקסימלי בקול קורא)</t>
  </si>
  <si>
    <t xml:space="preserve">שולחן פעילות מתקפל (לפי מספר האנשים - לפי 6 אנשים לשולחן) </t>
  </si>
  <si>
    <t>מימון מאושר - הנמוך מבין השניים - אחוז השתתפות  או תקציב סיוע מקסימלי</t>
  </si>
  <si>
    <t>תופים מלודיים</t>
  </si>
  <si>
    <t xml:space="preserve">קרמיקה (רכישת התנור מותנת בקיום חדר נפרד מתאים מבחינת הגודל ודרישות הבטיחות, תנור קרמיקה תוצרת חו"ל דורש תו תקן מת"י)  </t>
  </si>
  <si>
    <t>חוג נוסף לבחירה  (יש לפרט את החוג בתא הערות / הסבר לחריגהה )</t>
  </si>
  <si>
    <t xml:space="preserve">מציאות מדומה: מערכת טכנולוגית לתרגול מיומנויות מוטוריות וקוגניטיביות </t>
  </si>
  <si>
    <t>עלות ליחידה כולל מע"מ</t>
  </si>
  <si>
    <t>סך עלות כולל מע"מ</t>
  </si>
  <si>
    <t>מתקן משולב מונגש (30,000 ₪ לקטן, 50,000 ₪ לגדול)</t>
  </si>
  <si>
    <t>טאבלט + מגן+ מדבקת מסך + מעמד</t>
  </si>
  <si>
    <t xml:space="preserve">מותנה בהגשת הצעת מחיר ותכנית העמדה טרם ביצוע </t>
  </si>
  <si>
    <t>הסעיפים הנ"ל מציגים מתקנים לדוגמה שיכולים להשתנות מפרויקט לפרויקט בהתאם למאפייני הגוף המבקש ובאישור מנהלת התכנית מטעם ביטוח הלאומי</t>
  </si>
  <si>
    <t>המלצת מנהלת התכנית</t>
  </si>
  <si>
    <t>סה"כ למתקני חדר כושר</t>
  </si>
  <si>
    <r>
      <t>אביזרי עיצוב (לפי מספר חדרים)</t>
    </r>
    <r>
      <rPr>
        <sz val="8"/>
        <color rgb="FFFF0000"/>
        <rFont val="Times New Roman"/>
        <family val="1"/>
      </rPr>
      <t xml:space="preserve"> </t>
    </r>
  </si>
  <si>
    <r>
      <t>טלויזיה  65 אינץ' + מסך הגנה</t>
    </r>
    <r>
      <rPr>
        <sz val="8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>(לפי מספר חדרים)</t>
    </r>
  </si>
  <si>
    <r>
      <t>סוכך</t>
    </r>
    <r>
      <rPr>
        <sz val="8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 (3 לקטן, 5 לגדול)</t>
    </r>
  </si>
  <si>
    <t>הצעת מחיר ג' (ב - ₪, כולל מע"מ)</t>
  </si>
  <si>
    <t>סכום מימון מקסימלי-ביטוח לאומי</t>
  </si>
  <si>
    <t>בצרוף 2 הצעות מחיר לציוד בעלות עד 20,000 ₪ ו-3 לסכום גבוה יותר</t>
  </si>
  <si>
    <t>יש לרשום ציוד נוסף שאינו מופיע בתקן ולצרף 2 הצעות מחיר לציוד בעלות עד 20,000 ₪ ו-3 לסכום גבוה יותר</t>
  </si>
  <si>
    <t>סה"כ תוכנות מיוחדות</t>
  </si>
  <si>
    <t>מימון ביטוח לאומי מקסימלי</t>
  </si>
  <si>
    <r>
      <t xml:space="preserve">* במידה וקיים צורך בציוד אשר אינו מופיע בתקן יש למלא בגיליון </t>
    </r>
    <r>
      <rPr>
        <b/>
        <sz val="11"/>
        <color theme="1"/>
        <rFont val="Times New Roman"/>
        <family val="1"/>
        <scheme val="major"/>
      </rPr>
      <t xml:space="preserve">ציוד נוסף, </t>
    </r>
  </si>
  <si>
    <r>
      <t xml:space="preserve">הגוף המבקש מתבקש למלא פרטים </t>
    </r>
    <r>
      <rPr>
        <u/>
        <sz val="11"/>
        <rFont val="Times New Roman"/>
        <family val="1"/>
      </rPr>
      <t xml:space="preserve">רק </t>
    </r>
    <r>
      <rPr>
        <sz val="11"/>
        <rFont val="Times New Roman"/>
        <family val="1"/>
      </rPr>
      <t>בתאים המסומנים בצבע ירוק . אין לגעת בתאים אחרים.</t>
    </r>
  </si>
  <si>
    <t>מערכת מצלמות אבטחה (התחשיב - עלות מערכת והתקנה  5,000 ₪  +  מצלמה אחת לכל חדר פעילות לפי 1,500 ₪  בתוספת 100% מכמות מצלמות  הנ"ל למקומות ציבוריים)**</t>
  </si>
  <si>
    <t>תקן ריהוט וציוד כללי למסגרות חברתיות : פברואר 2024</t>
  </si>
  <si>
    <t>סיכום בקשת הגוף</t>
  </si>
  <si>
    <t xml:space="preserve">סיכום לוועדה </t>
  </si>
  <si>
    <r>
      <t xml:space="preserve">סך בקשת הגוף             </t>
    </r>
    <r>
      <rPr>
        <sz val="9"/>
        <color theme="1"/>
        <rFont val="Times New Roman"/>
        <family val="1"/>
      </rPr>
      <t xml:space="preserve"> (בש"ח וכולל מע"מ)</t>
    </r>
  </si>
  <si>
    <t xml:space="preserve">* הסכומים כוללים מע"מ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</si>
</sst>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₪&quot;\ #,##0;[Red]&quot;₪&quot;\ \-#,##0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&quot;₪&quot;\ #,##0"/>
    <numFmt numFmtId="165" formatCode="_ * #,##0_ ;_ * \-#,##0_ ;_ * &quot;-&quot;??_ ;_ @_ "/>
    <numFmt numFmtId="166" formatCode="#,##0_ ;[Red]\-#,##0\ "/>
  </numFmts>
  <fonts count="4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Arial"/>
      <family val="2"/>
      <charset val="177"/>
    </font>
    <font>
      <b/>
      <sz val="11"/>
      <name val="Times New Roman"/>
      <family val="1"/>
    </font>
    <font>
      <sz val="11"/>
      <color theme="1"/>
      <name val="Times New Roman"/>
      <family val="1"/>
      <scheme val="major"/>
    </font>
    <font>
      <sz val="11"/>
      <name val="Times New Roman"/>
      <family val="1"/>
      <scheme val="major"/>
    </font>
    <font>
      <sz val="8"/>
      <name val="Times New Roman"/>
      <family val="1"/>
    </font>
    <font>
      <sz val="11"/>
      <name val="Arial"/>
      <family val="2"/>
      <charset val="177"/>
      <scheme val="minor"/>
    </font>
    <font>
      <sz val="9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FF0000"/>
      <name val="Times New Roman"/>
      <family val="1"/>
      <scheme val="major"/>
    </font>
    <font>
      <b/>
      <sz val="14"/>
      <color rgb="FF800000"/>
      <name val="Times New Roman"/>
      <family val="1"/>
    </font>
    <font>
      <sz val="12"/>
      <color theme="1"/>
      <name val="David"/>
      <family val="2"/>
    </font>
    <font>
      <sz val="11"/>
      <name val="Times New Roman"/>
      <family val="1"/>
      <charset val="177"/>
    </font>
    <font>
      <sz val="11"/>
      <color rgb="FFFF0000"/>
      <name val="Times New Roman"/>
      <family val="1"/>
      <charset val="177"/>
    </font>
    <font>
      <sz val="8"/>
      <name val="Times New Roman"/>
      <family val="1"/>
      <charset val="177"/>
    </font>
    <font>
      <sz val="11"/>
      <color theme="1"/>
      <name val="Times New Roman"/>
      <family val="1"/>
      <charset val="177"/>
    </font>
    <font>
      <sz val="9"/>
      <name val="Times New Roman"/>
      <family val="1"/>
      <charset val="177"/>
    </font>
    <font>
      <sz val="12"/>
      <color theme="1"/>
      <name val="David"/>
      <family val="2"/>
      <charset val="177"/>
    </font>
    <font>
      <sz val="12"/>
      <name val="Times New Roman"/>
      <family val="1"/>
      <charset val="177"/>
    </font>
    <font>
      <sz val="8"/>
      <color rgb="FFFF0000"/>
      <name val="Times New Roman"/>
      <family val="1"/>
    </font>
    <font>
      <sz val="8"/>
      <color rgb="FF0000FF"/>
      <name val="Times New Roman"/>
      <family val="1"/>
    </font>
    <font>
      <sz val="11"/>
      <color rgb="FF0000FF"/>
      <name val="Times New Roman"/>
      <family val="1"/>
      <charset val="177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u/>
      <sz val="11"/>
      <color theme="1"/>
      <name val="Times New Roman"/>
      <family val="1"/>
      <scheme val="major"/>
    </font>
    <font>
      <u/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sz val="20"/>
      <color theme="1"/>
      <name val="Times New Roman"/>
      <family val="1"/>
    </font>
    <font>
      <u/>
      <sz val="12"/>
      <name val="Times New Roman"/>
      <family val="1"/>
    </font>
    <font>
      <sz val="14"/>
      <color theme="1"/>
      <name val="Times New Roman"/>
      <family val="1"/>
    </font>
    <font>
      <u/>
      <sz val="14"/>
      <color theme="1"/>
      <name val="Times New Roman"/>
      <family val="1"/>
      <charset val="177"/>
    </font>
    <font>
      <sz val="12"/>
      <color theme="1"/>
      <name val="Times New Roman"/>
      <family val="1"/>
      <charset val="177"/>
    </font>
    <font>
      <u/>
      <sz val="11"/>
      <color theme="1"/>
      <name val="Times New Roman"/>
      <family val="1"/>
      <charset val="177"/>
    </font>
    <font>
      <u/>
      <sz val="11"/>
      <name val="Times New Roman"/>
      <family val="1"/>
    </font>
    <font>
      <sz val="9"/>
      <color rgb="FFFF0000"/>
      <name val="Times New Roman"/>
      <family val="1"/>
      <charset val="177"/>
    </font>
    <font>
      <sz val="11"/>
      <color rgb="FFC00000"/>
      <name val="Times New Roman"/>
      <family val="1"/>
      <scheme val="major"/>
    </font>
    <font>
      <b/>
      <sz val="12"/>
      <color rgb="FF800000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CD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EFAF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/>
    <xf numFmtId="0" fontId="4" fillId="0" borderId="0" xfId="0" applyFont="1" applyFill="1" applyAlignment="1" applyProtection="1">
      <alignment horizontal="right"/>
    </xf>
    <xf numFmtId="0" fontId="5" fillId="0" borderId="8" xfId="1" applyNumberFormat="1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right" wrapText="1"/>
    </xf>
    <xf numFmtId="0" fontId="4" fillId="0" borderId="12" xfId="0" applyFont="1" applyFill="1" applyBorder="1" applyAlignment="1" applyProtection="1"/>
    <xf numFmtId="3" fontId="4" fillId="0" borderId="7" xfId="0" applyNumberFormat="1" applyFont="1" applyFill="1" applyBorder="1" applyAlignment="1" applyProtection="1">
      <alignment horizontal="right"/>
    </xf>
    <xf numFmtId="3" fontId="6" fillId="0" borderId="6" xfId="0" applyNumberFormat="1" applyFont="1" applyFill="1" applyBorder="1" applyAlignment="1" applyProtection="1">
      <alignment horizontal="right"/>
    </xf>
    <xf numFmtId="3" fontId="4" fillId="0" borderId="8" xfId="0" applyNumberFormat="1" applyFont="1" applyFill="1" applyBorder="1" applyAlignment="1" applyProtection="1">
      <alignment horizontal="right"/>
    </xf>
    <xf numFmtId="9" fontId="4" fillId="0" borderId="8" xfId="0" applyNumberFormat="1" applyFont="1" applyFill="1" applyBorder="1" applyAlignment="1" applyProtection="1">
      <alignment horizontal="right"/>
    </xf>
    <xf numFmtId="0" fontId="4" fillId="0" borderId="8" xfId="0" applyFont="1" applyFill="1" applyBorder="1" applyAlignment="1" applyProtection="1">
      <alignment horizontal="right"/>
    </xf>
    <xf numFmtId="0" fontId="4" fillId="0" borderId="8" xfId="0" applyFont="1" applyFill="1" applyBorder="1" applyProtection="1"/>
    <xf numFmtId="0" fontId="4" fillId="3" borderId="8" xfId="0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/>
    <xf numFmtId="3" fontId="4" fillId="0" borderId="8" xfId="1" applyNumberFormat="1" applyFont="1" applyFill="1" applyBorder="1" applyAlignment="1" applyProtection="1">
      <alignment horizontal="right"/>
    </xf>
    <xf numFmtId="0" fontId="4" fillId="0" borderId="8" xfId="0" applyFont="1" applyFill="1" applyBorder="1" applyAlignment="1" applyProtection="1">
      <alignment wrapText="1"/>
    </xf>
    <xf numFmtId="0" fontId="4" fillId="0" borderId="17" xfId="0" applyFont="1" applyFill="1" applyBorder="1" applyAlignment="1" applyProtection="1"/>
    <xf numFmtId="3" fontId="4" fillId="0" borderId="17" xfId="0" applyNumberFormat="1" applyFont="1" applyFill="1" applyBorder="1" applyAlignment="1" applyProtection="1"/>
    <xf numFmtId="0" fontId="4" fillId="0" borderId="7" xfId="0" applyFont="1" applyFill="1" applyBorder="1" applyAlignment="1" applyProtection="1">
      <alignment horizontal="right" vertical="center" wrapText="1" readingOrder="2"/>
    </xf>
    <xf numFmtId="0" fontId="2" fillId="0" borderId="9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right" wrapText="1" readingOrder="2"/>
    </xf>
    <xf numFmtId="0" fontId="4" fillId="0" borderId="8" xfId="0" applyFont="1" applyFill="1" applyBorder="1" applyAlignment="1" applyProtection="1">
      <alignment horizontal="center"/>
    </xf>
    <xf numFmtId="14" fontId="4" fillId="0" borderId="0" xfId="0" applyNumberFormat="1" applyFont="1" applyFill="1" applyProtection="1"/>
    <xf numFmtId="0" fontId="4" fillId="0" borderId="0" xfId="0" applyFont="1" applyFill="1" applyProtection="1"/>
    <xf numFmtId="0" fontId="4" fillId="0" borderId="17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right" vertical="center" readingOrder="2"/>
    </xf>
    <xf numFmtId="0" fontId="6" fillId="0" borderId="8" xfId="1" applyNumberFormat="1" applyFont="1" applyFill="1" applyBorder="1" applyAlignment="1" applyProtection="1">
      <alignment horizontal="right"/>
    </xf>
    <xf numFmtId="0" fontId="4" fillId="0" borderId="8" xfId="1" applyNumberFormat="1" applyFont="1" applyFill="1" applyBorder="1" applyAlignment="1" applyProtection="1">
      <alignment horizontal="right"/>
    </xf>
    <xf numFmtId="0" fontId="4" fillId="0" borderId="8" xfId="0" applyFont="1" applyFill="1" applyBorder="1" applyAlignment="1" applyProtection="1">
      <alignment horizontal="right" wrapText="1"/>
    </xf>
    <xf numFmtId="3" fontId="4" fillId="0" borderId="8" xfId="0" applyNumberFormat="1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/>
    <xf numFmtId="0" fontId="4" fillId="0" borderId="12" xfId="0" applyFont="1" applyFill="1" applyBorder="1" applyAlignment="1" applyProtection="1">
      <alignment wrapText="1"/>
    </xf>
    <xf numFmtId="3" fontId="4" fillId="0" borderId="7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11" fillId="0" borderId="0" xfId="0" applyFont="1" applyFill="1" applyAlignment="1" applyProtection="1">
      <alignment horizontal="right"/>
    </xf>
    <xf numFmtId="0" fontId="4" fillId="0" borderId="10" xfId="0" applyFont="1" applyFill="1" applyBorder="1" applyAlignment="1" applyProtection="1">
      <alignment horizontal="right" wrapText="1"/>
    </xf>
    <xf numFmtId="0" fontId="4" fillId="0" borderId="11" xfId="0" applyFont="1" applyFill="1" applyBorder="1" applyAlignment="1" applyProtection="1">
      <alignment horizontal="right" wrapText="1"/>
    </xf>
    <xf numFmtId="0" fontId="4" fillId="0" borderId="6" xfId="0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>
      <alignment horizontal="right"/>
    </xf>
    <xf numFmtId="0" fontId="8" fillId="0" borderId="8" xfId="0" applyFont="1" applyFill="1" applyBorder="1" applyAlignment="1" applyProtection="1">
      <alignment horizontal="right"/>
    </xf>
    <xf numFmtId="14" fontId="4" fillId="0" borderId="0" xfId="0" applyNumberFormat="1" applyFont="1" applyFill="1" applyAlignment="1" applyProtection="1"/>
    <xf numFmtId="3" fontId="4" fillId="0" borderId="8" xfId="0" applyNumberFormat="1" applyFont="1" applyFill="1" applyBorder="1" applyAlignment="1" applyProtection="1"/>
    <xf numFmtId="9" fontId="4" fillId="0" borderId="8" xfId="0" applyNumberFormat="1" applyFont="1" applyFill="1" applyBorder="1" applyAlignment="1" applyProtection="1"/>
    <xf numFmtId="3" fontId="4" fillId="0" borderId="10" xfId="0" applyNumberFormat="1" applyFont="1" applyFill="1" applyBorder="1" applyAlignment="1" applyProtection="1">
      <alignment horizontal="right"/>
    </xf>
    <xf numFmtId="3" fontId="8" fillId="0" borderId="8" xfId="1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2" fillId="0" borderId="8" xfId="0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right"/>
    </xf>
    <xf numFmtId="0" fontId="3" fillId="0" borderId="8" xfId="0" applyFont="1" applyFill="1" applyBorder="1" applyAlignment="1" applyProtection="1">
      <alignment horizontal="right" wrapText="1"/>
    </xf>
    <xf numFmtId="0" fontId="4" fillId="0" borderId="9" xfId="0" applyFont="1" applyFill="1" applyBorder="1" applyAlignment="1" applyProtection="1">
      <alignment horizontal="right" wrapText="1"/>
    </xf>
    <xf numFmtId="0" fontId="13" fillId="3" borderId="8" xfId="0" applyFont="1" applyFill="1" applyBorder="1" applyAlignment="1" applyProtection="1">
      <alignment horizontal="right"/>
      <protection locked="0"/>
    </xf>
    <xf numFmtId="0" fontId="6" fillId="0" borderId="8" xfId="0" applyFont="1" applyFill="1" applyBorder="1" applyAlignment="1" applyProtection="1">
      <alignment wrapText="1"/>
    </xf>
    <xf numFmtId="0" fontId="4" fillId="0" borderId="10" xfId="0" applyFont="1" applyFill="1" applyBorder="1" applyAlignment="1" applyProtection="1">
      <alignment horizontal="right"/>
    </xf>
    <xf numFmtId="0" fontId="9" fillId="5" borderId="8" xfId="0" applyFont="1" applyFill="1" applyBorder="1" applyAlignment="1" applyProtection="1">
      <alignment horizontal="center" vertical="center"/>
      <protection locked="0"/>
    </xf>
    <xf numFmtId="165" fontId="9" fillId="5" borderId="8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/>
    <xf numFmtId="0" fontId="2" fillId="0" borderId="0" xfId="0" applyFont="1" applyBorder="1" applyAlignment="1"/>
    <xf numFmtId="0" fontId="18" fillId="0" borderId="0" xfId="0" applyFont="1" applyFill="1" applyAlignment="1" applyProtection="1">
      <alignment horizontal="right"/>
    </xf>
    <xf numFmtId="0" fontId="18" fillId="0" borderId="8" xfId="0" applyFont="1" applyFill="1" applyBorder="1" applyAlignment="1" applyProtection="1">
      <alignment horizontal="center"/>
    </xf>
    <xf numFmtId="14" fontId="18" fillId="0" borderId="0" xfId="0" applyNumberFormat="1" applyFont="1" applyFill="1" applyAlignment="1" applyProtection="1"/>
    <xf numFmtId="0" fontId="18" fillId="0" borderId="0" xfId="0" applyFont="1" applyFill="1" applyAlignment="1" applyProtection="1"/>
    <xf numFmtId="0" fontId="20" fillId="0" borderId="0" xfId="0" applyFont="1" applyFill="1" applyAlignment="1" applyProtection="1">
      <alignment horizontal="right"/>
    </xf>
    <xf numFmtId="0" fontId="18" fillId="0" borderId="17" xfId="0" applyFont="1" applyFill="1" applyBorder="1" applyAlignment="1" applyProtection="1">
      <alignment horizontal="right"/>
    </xf>
    <xf numFmtId="0" fontId="18" fillId="0" borderId="5" xfId="0" applyFont="1" applyFill="1" applyBorder="1" applyAlignment="1" applyProtection="1">
      <alignment horizontal="right"/>
    </xf>
    <xf numFmtId="0" fontId="18" fillId="0" borderId="9" xfId="0" applyFont="1" applyFill="1" applyBorder="1" applyAlignment="1" applyProtection="1">
      <alignment horizontal="center"/>
    </xf>
    <xf numFmtId="0" fontId="18" fillId="0" borderId="12" xfId="0" applyFont="1" applyFill="1" applyBorder="1" applyAlignment="1" applyProtection="1">
      <alignment horizontal="center"/>
    </xf>
    <xf numFmtId="0" fontId="18" fillId="0" borderId="7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right" wrapText="1"/>
    </xf>
    <xf numFmtId="3" fontId="18" fillId="0" borderId="8" xfId="1" applyNumberFormat="1" applyFont="1" applyFill="1" applyBorder="1" applyAlignment="1" applyProtection="1">
      <alignment horizontal="right"/>
    </xf>
    <xf numFmtId="0" fontId="18" fillId="3" borderId="8" xfId="0" applyFont="1" applyFill="1" applyBorder="1" applyAlignment="1" applyProtection="1">
      <alignment horizontal="right"/>
      <protection locked="0"/>
    </xf>
    <xf numFmtId="3" fontId="18" fillId="0" borderId="8" xfId="0" applyNumberFormat="1" applyFont="1" applyFill="1" applyBorder="1" applyAlignment="1" applyProtection="1">
      <alignment horizontal="right"/>
    </xf>
    <xf numFmtId="9" fontId="18" fillId="0" borderId="8" xfId="0" applyNumberFormat="1" applyFont="1" applyFill="1" applyBorder="1" applyAlignment="1" applyProtection="1">
      <alignment horizontal="right"/>
    </xf>
    <xf numFmtId="0" fontId="22" fillId="3" borderId="8" xfId="0" applyFont="1" applyFill="1" applyBorder="1" applyAlignment="1" applyProtection="1">
      <alignment horizontal="right"/>
      <protection locked="0"/>
    </xf>
    <xf numFmtId="0" fontId="18" fillId="4" borderId="8" xfId="0" applyFont="1" applyFill="1" applyBorder="1" applyAlignment="1" applyProtection="1">
      <alignment horizontal="right"/>
      <protection locked="0"/>
    </xf>
    <xf numFmtId="0" fontId="18" fillId="4" borderId="8" xfId="0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 applyProtection="1">
      <alignment horizontal="right"/>
    </xf>
    <xf numFmtId="0" fontId="18" fillId="0" borderId="8" xfId="0" applyFont="1" applyFill="1" applyBorder="1" applyAlignment="1" applyProtection="1">
      <alignment horizontal="right" wrapText="1" readingOrder="2"/>
    </xf>
    <xf numFmtId="0" fontId="18" fillId="0" borderId="8" xfId="1" applyNumberFormat="1" applyFont="1" applyFill="1" applyBorder="1" applyAlignment="1" applyProtection="1">
      <alignment horizontal="right"/>
    </xf>
    <xf numFmtId="3" fontId="18" fillId="0" borderId="8" xfId="0" applyNumberFormat="1" applyFont="1" applyFill="1" applyBorder="1" applyAlignment="1" applyProtection="1"/>
    <xf numFmtId="0" fontId="18" fillId="0" borderId="10" xfId="0" applyFont="1" applyFill="1" applyBorder="1" applyAlignment="1" applyProtection="1">
      <alignment horizontal="right" wrapText="1"/>
    </xf>
    <xf numFmtId="3" fontId="18" fillId="0" borderId="10" xfId="1" applyNumberFormat="1" applyFont="1" applyFill="1" applyBorder="1" applyAlignment="1" applyProtection="1">
      <alignment horizontal="right"/>
    </xf>
    <xf numFmtId="3" fontId="18" fillId="0" borderId="10" xfId="0" applyNumberFormat="1" applyFont="1" applyFill="1" applyBorder="1" applyAlignment="1" applyProtection="1">
      <alignment horizontal="right"/>
    </xf>
    <xf numFmtId="0" fontId="22" fillId="3" borderId="10" xfId="0" applyFont="1" applyFill="1" applyBorder="1" applyAlignment="1" applyProtection="1">
      <alignment horizontal="right"/>
      <protection locked="0"/>
    </xf>
    <xf numFmtId="0" fontId="18" fillId="4" borderId="10" xfId="0" applyFont="1" applyFill="1" applyBorder="1" applyAlignment="1" applyProtection="1">
      <alignment horizontal="right"/>
      <protection locked="0"/>
    </xf>
    <xf numFmtId="0" fontId="18" fillId="0" borderId="8" xfId="0" applyFont="1" applyFill="1" applyBorder="1" applyAlignment="1" applyProtection="1">
      <alignment horizontal="center"/>
      <protection locked="0"/>
    </xf>
    <xf numFmtId="0" fontId="18" fillId="0" borderId="6" xfId="0" applyFont="1" applyFill="1" applyBorder="1" applyAlignment="1" applyProtection="1">
      <alignment horizontal="right"/>
    </xf>
    <xf numFmtId="3" fontId="18" fillId="0" borderId="6" xfId="1" applyNumberFormat="1" applyFont="1" applyFill="1" applyBorder="1" applyAlignment="1" applyProtection="1">
      <alignment horizontal="right"/>
    </xf>
    <xf numFmtId="3" fontId="18" fillId="0" borderId="6" xfId="0" applyNumberFormat="1" applyFont="1" applyFill="1" applyBorder="1" applyAlignment="1" applyProtection="1">
      <alignment horizontal="right"/>
    </xf>
    <xf numFmtId="0" fontId="22" fillId="3" borderId="6" xfId="0" applyFont="1" applyFill="1" applyBorder="1" applyAlignment="1" applyProtection="1">
      <alignment horizontal="right"/>
      <protection locked="0"/>
    </xf>
    <xf numFmtId="0" fontId="18" fillId="4" borderId="6" xfId="0" applyFont="1" applyFill="1" applyBorder="1" applyAlignment="1" applyProtection="1">
      <alignment horizontal="right"/>
      <protection locked="0"/>
    </xf>
    <xf numFmtId="37" fontId="18" fillId="0" borderId="8" xfId="1" applyNumberFormat="1" applyFont="1" applyFill="1" applyBorder="1" applyAlignment="1" applyProtection="1">
      <alignment horizontal="right"/>
    </xf>
    <xf numFmtId="0" fontId="18" fillId="0" borderId="10" xfId="0" applyFont="1" applyFill="1" applyBorder="1" applyAlignment="1" applyProtection="1">
      <alignment horizontal="right"/>
    </xf>
    <xf numFmtId="0" fontId="18" fillId="0" borderId="6" xfId="0" applyFont="1" applyFill="1" applyBorder="1" applyAlignment="1" applyProtection="1">
      <alignment horizontal="right" wrapText="1" readingOrder="2"/>
    </xf>
    <xf numFmtId="37" fontId="18" fillId="0" borderId="6" xfId="1" applyNumberFormat="1" applyFont="1" applyFill="1" applyBorder="1" applyAlignment="1" applyProtection="1">
      <alignment horizontal="right"/>
    </xf>
    <xf numFmtId="0" fontId="18" fillId="0" borderId="10" xfId="0" applyFont="1" applyFill="1" applyBorder="1" applyAlignment="1" applyProtection="1">
      <alignment horizontal="right" wrapText="1" readingOrder="2"/>
    </xf>
    <xf numFmtId="0" fontId="18" fillId="0" borderId="6" xfId="0" applyFont="1" applyFill="1" applyBorder="1" applyAlignment="1" applyProtection="1">
      <alignment horizontal="right" wrapText="1"/>
    </xf>
    <xf numFmtId="3" fontId="18" fillId="0" borderId="10" xfId="0" applyNumberFormat="1" applyFont="1" applyFill="1" applyBorder="1" applyAlignment="1" applyProtection="1"/>
    <xf numFmtId="0" fontId="18" fillId="0" borderId="0" xfId="0" applyFont="1" applyFill="1" applyAlignment="1" applyProtection="1">
      <alignment horizontal="left"/>
    </xf>
    <xf numFmtId="0" fontId="18" fillId="0" borderId="9" xfId="0" applyFont="1" applyFill="1" applyBorder="1" applyAlignment="1" applyProtection="1">
      <alignment horizontal="right"/>
    </xf>
    <xf numFmtId="0" fontId="18" fillId="0" borderId="12" xfId="0" applyFont="1" applyFill="1" applyBorder="1" applyAlignment="1" applyProtection="1">
      <alignment horizontal="right"/>
    </xf>
    <xf numFmtId="3" fontId="18" fillId="0" borderId="7" xfId="0" applyNumberFormat="1" applyFont="1" applyFill="1" applyBorder="1" applyAlignment="1" applyProtection="1">
      <alignment horizontal="right"/>
    </xf>
    <xf numFmtId="0" fontId="18" fillId="0" borderId="8" xfId="0" applyFont="1" applyFill="1" applyBorder="1" applyAlignment="1" applyProtection="1"/>
    <xf numFmtId="0" fontId="24" fillId="0" borderId="12" xfId="0" applyFont="1" applyFill="1" applyBorder="1" applyAlignment="1" applyProtection="1">
      <alignment wrapText="1"/>
    </xf>
    <xf numFmtId="3" fontId="18" fillId="0" borderId="7" xfId="0" applyNumberFormat="1" applyFont="1" applyFill="1" applyBorder="1" applyAlignment="1" applyProtection="1">
      <alignment wrapText="1"/>
    </xf>
    <xf numFmtId="166" fontId="17" fillId="0" borderId="8" xfId="3" applyNumberFormat="1" applyFont="1" applyBorder="1" applyAlignment="1" applyProtection="1">
      <alignment horizontal="right"/>
    </xf>
    <xf numFmtId="166" fontId="4" fillId="0" borderId="8" xfId="0" applyNumberFormat="1" applyFont="1" applyFill="1" applyBorder="1" applyAlignment="1" applyProtection="1">
      <alignment horizontal="right"/>
    </xf>
    <xf numFmtId="38" fontId="18" fillId="0" borderId="12" xfId="0" applyNumberFormat="1" applyFont="1" applyFill="1" applyBorder="1" applyAlignment="1" applyProtection="1">
      <alignment horizontal="center"/>
    </xf>
    <xf numFmtId="38" fontId="18" fillId="0" borderId="8" xfId="0" applyNumberFormat="1" applyFont="1" applyFill="1" applyBorder="1" applyAlignment="1" applyProtection="1">
      <alignment horizontal="right" wrapText="1"/>
    </xf>
    <xf numFmtId="38" fontId="23" fillId="0" borderId="8" xfId="3" applyNumberFormat="1" applyFont="1" applyBorder="1" applyAlignment="1" applyProtection="1">
      <alignment horizontal="right"/>
    </xf>
    <xf numFmtId="38" fontId="23" fillId="0" borderId="10" xfId="3" applyNumberFormat="1" applyFont="1" applyBorder="1" applyAlignment="1" applyProtection="1">
      <alignment horizontal="right"/>
    </xf>
    <xf numFmtId="38" fontId="18" fillId="0" borderId="8" xfId="0" applyNumberFormat="1" applyFont="1" applyFill="1" applyBorder="1" applyAlignment="1" applyProtection="1">
      <alignment horizontal="right"/>
    </xf>
    <xf numFmtId="38" fontId="23" fillId="0" borderId="6" xfId="3" applyNumberFormat="1" applyFont="1" applyBorder="1" applyAlignment="1" applyProtection="1">
      <alignment horizontal="right"/>
    </xf>
    <xf numFmtId="38" fontId="18" fillId="0" borderId="8" xfId="1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18" fillId="0" borderId="11" xfId="0" applyFont="1" applyFill="1" applyBorder="1" applyAlignment="1" applyProtection="1">
      <alignment horizontal="right" vertical="center" wrapText="1"/>
    </xf>
    <xf numFmtId="0" fontId="18" fillId="0" borderId="11" xfId="0" applyFont="1" applyFill="1" applyBorder="1" applyAlignment="1" applyProtection="1">
      <alignment horizontal="right" vertical="center" wrapText="1" readingOrder="2"/>
    </xf>
    <xf numFmtId="0" fontId="4" fillId="0" borderId="17" xfId="0" applyFont="1" applyFill="1" applyBorder="1" applyAlignment="1" applyProtection="1">
      <alignment horizontal="right"/>
    </xf>
    <xf numFmtId="0" fontId="9" fillId="5" borderId="8" xfId="0" applyFont="1" applyFill="1" applyBorder="1" applyAlignment="1" applyProtection="1">
      <alignment horizontal="center" vertical="center" wrapText="1"/>
      <protection locked="0"/>
    </xf>
    <xf numFmtId="0" fontId="28" fillId="0" borderId="8" xfId="0" applyFont="1" applyFill="1" applyBorder="1" applyAlignment="1" applyProtection="1">
      <alignment horizontal="right"/>
    </xf>
    <xf numFmtId="0" fontId="28" fillId="0" borderId="10" xfId="0" applyFont="1" applyFill="1" applyBorder="1" applyAlignment="1" applyProtection="1">
      <alignment horizontal="right"/>
    </xf>
    <xf numFmtId="0" fontId="5" fillId="0" borderId="8" xfId="0" applyFont="1" applyFill="1" applyBorder="1" applyAlignment="1" applyProtection="1">
      <alignment horizontal="right"/>
    </xf>
    <xf numFmtId="3" fontId="8" fillId="0" borderId="10" xfId="1" applyNumberFormat="1" applyFont="1" applyFill="1" applyBorder="1" applyAlignment="1" applyProtection="1">
      <alignment horizontal="right"/>
    </xf>
    <xf numFmtId="0" fontId="28" fillId="0" borderId="6" xfId="0" applyFont="1" applyFill="1" applyBorder="1" applyAlignment="1" applyProtection="1">
      <alignment horizontal="right"/>
    </xf>
    <xf numFmtId="0" fontId="28" fillId="0" borderId="8" xfId="1" applyNumberFormat="1" applyFont="1" applyFill="1" applyBorder="1" applyAlignment="1" applyProtection="1">
      <alignment horizontal="right"/>
    </xf>
    <xf numFmtId="0" fontId="5" fillId="0" borderId="6" xfId="1" applyNumberFormat="1" applyFont="1" applyFill="1" applyBorder="1" applyAlignment="1" applyProtection="1">
      <alignment horizontal="right"/>
    </xf>
    <xf numFmtId="3" fontId="5" fillId="0" borderId="8" xfId="1" applyNumberFormat="1" applyFont="1" applyFill="1" applyBorder="1" applyAlignment="1" applyProtection="1">
      <alignment horizontal="right"/>
    </xf>
    <xf numFmtId="0" fontId="5" fillId="0" borderId="10" xfId="1" applyNumberFormat="1" applyFont="1" applyFill="1" applyBorder="1" applyAlignment="1" applyProtection="1">
      <alignment horizontal="right"/>
    </xf>
    <xf numFmtId="3" fontId="29" fillId="0" borderId="8" xfId="1" applyNumberFormat="1" applyFont="1" applyFill="1" applyBorder="1" applyAlignment="1" applyProtection="1">
      <alignment horizontal="right"/>
    </xf>
    <xf numFmtId="3" fontId="5" fillId="0" borderId="6" xfId="1" applyNumberFormat="1" applyFont="1" applyFill="1" applyBorder="1" applyAlignment="1" applyProtection="1">
      <alignment horizontal="right"/>
    </xf>
    <xf numFmtId="0" fontId="30" fillId="2" borderId="0" xfId="0" applyFont="1" applyFill="1" applyBorder="1" applyAlignment="1" applyProtection="1">
      <alignment readingOrder="2"/>
    </xf>
    <xf numFmtId="0" fontId="9" fillId="2" borderId="0" xfId="0" applyFont="1" applyFill="1" applyBorder="1" applyAlignment="1" applyProtection="1"/>
    <xf numFmtId="0" fontId="9" fillId="2" borderId="0" xfId="0" applyFont="1" applyFill="1" applyAlignment="1"/>
    <xf numFmtId="0" fontId="9" fillId="2" borderId="0" xfId="0" applyFont="1" applyFill="1" applyAlignment="1">
      <alignment horizontal="right" vertical="center" readingOrder="2"/>
    </xf>
    <xf numFmtId="0" fontId="31" fillId="2" borderId="0" xfId="0" applyFont="1" applyFill="1" applyAlignment="1">
      <alignment horizontal="right" readingOrder="2"/>
    </xf>
    <xf numFmtId="0" fontId="9" fillId="2" borderId="0" xfId="0" applyFont="1" applyFill="1" applyAlignment="1">
      <alignment horizontal="right" readingOrder="2"/>
    </xf>
    <xf numFmtId="0" fontId="32" fillId="2" borderId="0" xfId="0" applyFont="1" applyFill="1" applyAlignment="1">
      <alignment horizontal="right" vertical="center" indent="1" readingOrder="2"/>
    </xf>
    <xf numFmtId="0" fontId="32" fillId="2" borderId="0" xfId="0" applyFont="1" applyFill="1" applyAlignment="1">
      <alignment horizontal="right" vertical="center" readingOrder="2"/>
    </xf>
    <xf numFmtId="0" fontId="9" fillId="0" borderId="0" xfId="0" applyFont="1" applyFill="1" applyAlignment="1">
      <alignment horizontal="right" vertical="center" readingOrder="2"/>
    </xf>
    <xf numFmtId="0" fontId="32" fillId="0" borderId="0" xfId="0" applyFont="1" applyFill="1" applyAlignment="1">
      <alignment horizontal="right" vertical="center" readingOrder="2"/>
    </xf>
    <xf numFmtId="0" fontId="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readingOrder="2"/>
    </xf>
    <xf numFmtId="0" fontId="34" fillId="0" borderId="0" xfId="2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4" fillId="0" borderId="0" xfId="2" applyFont="1" applyFill="1" applyBorder="1" applyAlignment="1" applyProtection="1">
      <alignment horizontal="right" vertic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2" xfId="0" applyFont="1" applyBorder="1"/>
    <xf numFmtId="0" fontId="21" fillId="0" borderId="3" xfId="0" applyFont="1" applyBorder="1"/>
    <xf numFmtId="0" fontId="21" fillId="0" borderId="3" xfId="0" applyFont="1" applyBorder="1" applyAlignment="1">
      <alignment horizontal="right"/>
    </xf>
    <xf numFmtId="0" fontId="21" fillId="0" borderId="4" xfId="0" applyFont="1" applyBorder="1"/>
    <xf numFmtId="0" fontId="37" fillId="0" borderId="13" xfId="0" applyFont="1" applyBorder="1"/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>
      <alignment horizontal="right"/>
    </xf>
    <xf numFmtId="0" fontId="36" fillId="0" borderId="15" xfId="0" applyFont="1" applyBorder="1" applyAlignment="1">
      <alignment horizontal="center"/>
    </xf>
    <xf numFmtId="0" fontId="21" fillId="0" borderId="13" xfId="0" applyFont="1" applyBorder="1"/>
    <xf numFmtId="0" fontId="21" fillId="0" borderId="0" xfId="0" applyFont="1" applyBorder="1" applyAlignment="1">
      <alignment horizontal="right"/>
    </xf>
    <xf numFmtId="14" fontId="21" fillId="3" borderId="14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Border="1"/>
    <xf numFmtId="0" fontId="21" fillId="0" borderId="15" xfId="0" applyFont="1" applyBorder="1"/>
    <xf numFmtId="0" fontId="21" fillId="0" borderId="0" xfId="0" applyFont="1" applyBorder="1" applyAlignment="1"/>
    <xf numFmtId="0" fontId="21" fillId="0" borderId="0" xfId="0" applyFont="1" applyBorder="1" applyAlignment="1" applyProtection="1">
      <alignment horizontal="right"/>
      <protection locked="0"/>
    </xf>
    <xf numFmtId="0" fontId="21" fillId="3" borderId="14" xfId="0" applyFont="1" applyFill="1" applyBorder="1" applyAlignment="1" applyProtection="1">
      <alignment horizontal="right"/>
      <protection locked="0"/>
    </xf>
    <xf numFmtId="0" fontId="7" fillId="3" borderId="14" xfId="2" applyFont="1" applyFill="1" applyBorder="1" applyAlignment="1" applyProtection="1">
      <alignment horizontal="right"/>
      <protection locked="0"/>
    </xf>
    <xf numFmtId="0" fontId="37" fillId="0" borderId="2" xfId="0" applyFont="1" applyBorder="1"/>
    <xf numFmtId="0" fontId="21" fillId="0" borderId="3" xfId="0" applyFont="1" applyBorder="1" applyAlignment="1"/>
    <xf numFmtId="0" fontId="21" fillId="0" borderId="3" xfId="0" applyFont="1" applyBorder="1" applyAlignment="1" applyProtection="1">
      <alignment horizontal="right"/>
      <protection locked="0"/>
    </xf>
    <xf numFmtId="0" fontId="21" fillId="0" borderId="0" xfId="0" applyFont="1" applyAlignment="1"/>
    <xf numFmtId="0" fontId="21" fillId="0" borderId="0" xfId="0" applyFont="1" applyAlignment="1" applyProtection="1">
      <alignment horizontal="right"/>
      <protection locked="0"/>
    </xf>
    <xf numFmtId="0" fontId="21" fillId="0" borderId="0" xfId="0" applyFont="1" applyFill="1" applyBorder="1" applyAlignment="1"/>
    <xf numFmtId="0" fontId="18" fillId="0" borderId="0" xfId="0" applyFont="1" applyBorder="1" applyAlignment="1">
      <alignment horizontal="right"/>
    </xf>
    <xf numFmtId="0" fontId="21" fillId="0" borderId="0" xfId="0" applyFont="1" applyFill="1" applyBorder="1" applyAlignment="1" applyProtection="1">
      <alignment horizontal="right"/>
      <protection locked="0"/>
    </xf>
    <xf numFmtId="0" fontId="38" fillId="0" borderId="3" xfId="0" applyFont="1" applyBorder="1"/>
    <xf numFmtId="0" fontId="21" fillId="3" borderId="18" xfId="0" applyFont="1" applyFill="1" applyBorder="1"/>
    <xf numFmtId="0" fontId="18" fillId="0" borderId="0" xfId="0" applyFont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40" fillId="0" borderId="0" xfId="0" applyFont="1" applyBorder="1" applyAlignment="1">
      <alignment horizontal="right"/>
    </xf>
    <xf numFmtId="0" fontId="21" fillId="0" borderId="1" xfId="0" applyFont="1" applyBorder="1"/>
    <xf numFmtId="0" fontId="21" fillId="0" borderId="14" xfId="0" applyFont="1" applyBorder="1"/>
    <xf numFmtId="0" fontId="21" fillId="0" borderId="14" xfId="0" applyFont="1" applyBorder="1" applyAlignment="1">
      <alignment horizontal="right"/>
    </xf>
    <xf numFmtId="0" fontId="21" fillId="0" borderId="16" xfId="0" applyFont="1" applyBorder="1"/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Protection="1"/>
    <xf numFmtId="0" fontId="9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15" fillId="0" borderId="0" xfId="0" applyFont="1" applyFill="1" applyProtection="1"/>
    <xf numFmtId="0" fontId="9" fillId="0" borderId="8" xfId="0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right" vertical="center" wrapText="1" readingOrder="2"/>
    </xf>
    <xf numFmtId="0" fontId="6" fillId="0" borderId="0" xfId="0" applyFont="1" applyFill="1" applyBorder="1" applyAlignment="1" applyProtection="1">
      <alignment vertical="center" wrapText="1" readingOrder="2"/>
    </xf>
    <xf numFmtId="0" fontId="4" fillId="0" borderId="8" xfId="0" applyFont="1" applyFill="1" applyBorder="1" applyAlignment="1" applyProtection="1"/>
    <xf numFmtId="0" fontId="4" fillId="0" borderId="0" xfId="0" applyFont="1" applyProtection="1"/>
    <xf numFmtId="0" fontId="2" fillId="0" borderId="0" xfId="0" applyFont="1" applyFill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Fill="1" applyAlignment="1" applyProtection="1"/>
    <xf numFmtId="0" fontId="18" fillId="0" borderId="0" xfId="0" applyFont="1" applyFill="1" applyAlignment="1" applyProtection="1">
      <alignment horizontal="center"/>
    </xf>
    <xf numFmtId="38" fontId="18" fillId="0" borderId="0" xfId="0" applyNumberFormat="1" applyFont="1" applyFill="1" applyAlignment="1" applyProtection="1">
      <alignment horizontal="right"/>
    </xf>
    <xf numFmtId="0" fontId="19" fillId="0" borderId="0" xfId="0" applyFont="1" applyFill="1" applyAlignment="1" applyProtection="1">
      <alignment horizontal="right"/>
    </xf>
    <xf numFmtId="0" fontId="21" fillId="0" borderId="8" xfId="0" applyFont="1" applyFill="1" applyBorder="1" applyAlignment="1" applyProtection="1">
      <alignment horizontal="right" wrapText="1"/>
    </xf>
    <xf numFmtId="0" fontId="18" fillId="0" borderId="0" xfId="0" applyFont="1" applyFill="1" applyAlignment="1" applyProtection="1">
      <alignment horizontal="right" wrapText="1"/>
    </xf>
    <xf numFmtId="0" fontId="27" fillId="0" borderId="0" xfId="0" applyFont="1" applyFill="1" applyAlignment="1" applyProtection="1">
      <alignment horizontal="right"/>
    </xf>
    <xf numFmtId="17" fontId="30" fillId="2" borderId="0" xfId="0" applyNumberFormat="1" applyFont="1" applyFill="1" applyBorder="1" applyAlignment="1" applyProtection="1">
      <alignment readingOrder="2"/>
    </xf>
    <xf numFmtId="0" fontId="18" fillId="0" borderId="12" xfId="0" applyFont="1" applyFill="1" applyBorder="1" applyAlignment="1" applyProtection="1">
      <alignment horizontal="right" wrapText="1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38" fontId="9" fillId="0" borderId="0" xfId="0" applyNumberFormat="1" applyFont="1" applyFill="1" applyProtection="1"/>
    <xf numFmtId="38" fontId="9" fillId="0" borderId="8" xfId="0" applyNumberFormat="1" applyFont="1" applyFill="1" applyBorder="1" applyAlignment="1" applyProtection="1">
      <alignment horizontal="right" vertical="center"/>
    </xf>
    <xf numFmtId="38" fontId="9" fillId="0" borderId="8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Protection="1">
      <protection locked="0"/>
    </xf>
    <xf numFmtId="0" fontId="41" fillId="0" borderId="0" xfId="0" applyFont="1" applyFill="1" applyAlignment="1" applyProtection="1">
      <alignment horizontal="left"/>
    </xf>
    <xf numFmtId="0" fontId="42" fillId="0" borderId="0" xfId="0" applyFont="1" applyFill="1" applyAlignment="1" applyProtection="1">
      <alignment horizontal="left"/>
    </xf>
    <xf numFmtId="14" fontId="2" fillId="0" borderId="0" xfId="0" applyNumberFormat="1" applyFont="1" applyFill="1" applyAlignment="1" applyProtection="1">
      <alignment horizontal="right"/>
    </xf>
    <xf numFmtId="3" fontId="2" fillId="0" borderId="8" xfId="0" applyNumberFormat="1" applyFont="1" applyFill="1" applyBorder="1" applyAlignment="1" applyProtection="1">
      <alignment horizontal="right"/>
    </xf>
    <xf numFmtId="164" fontId="2" fillId="0" borderId="8" xfId="3" applyNumberFormat="1" applyFont="1" applyFill="1" applyBorder="1" applyAlignment="1" applyProtection="1">
      <alignment horizontal="right"/>
    </xf>
    <xf numFmtId="9" fontId="2" fillId="0" borderId="8" xfId="4" applyNumberFormat="1" applyFont="1" applyFill="1" applyBorder="1" applyAlignment="1" applyProtection="1">
      <alignment horizontal="right"/>
    </xf>
    <xf numFmtId="9" fontId="2" fillId="0" borderId="8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9" fontId="2" fillId="0" borderId="0" xfId="0" applyNumberFormat="1" applyFont="1" applyFill="1" applyBorder="1" applyAlignment="1" applyProtection="1">
      <alignment horizontal="right"/>
    </xf>
    <xf numFmtId="164" fontId="2" fillId="0" borderId="0" xfId="3" applyNumberFormat="1" applyFont="1" applyFill="1" applyBorder="1" applyAlignment="1" applyProtection="1">
      <alignment horizontal="right"/>
    </xf>
    <xf numFmtId="0" fontId="16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164" fontId="3" fillId="0" borderId="8" xfId="3" applyNumberFormat="1" applyFont="1" applyFill="1" applyBorder="1" applyAlignment="1" applyProtection="1">
      <alignment horizontal="right"/>
    </xf>
    <xf numFmtId="9" fontId="3" fillId="0" borderId="8" xfId="0" applyNumberFormat="1" applyFont="1" applyFill="1" applyBorder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6" fontId="42" fillId="4" borderId="8" xfId="0" applyNumberFormat="1" applyFont="1" applyFill="1" applyBorder="1" applyAlignment="1" applyProtection="1">
      <alignment horizontal="center"/>
      <protection locked="0"/>
    </xf>
    <xf numFmtId="0" fontId="36" fillId="0" borderId="13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18" fillId="0" borderId="9" xfId="0" applyFont="1" applyFill="1" applyBorder="1" applyAlignment="1" applyProtection="1">
      <alignment horizontal="right" wrapText="1"/>
    </xf>
    <xf numFmtId="0" fontId="18" fillId="0" borderId="12" xfId="0" applyFont="1" applyFill="1" applyBorder="1" applyAlignment="1" applyProtection="1">
      <alignment horizontal="right" wrapText="1"/>
    </xf>
    <xf numFmtId="0" fontId="18" fillId="0" borderId="11" xfId="0" applyFont="1" applyFill="1" applyBorder="1" applyAlignment="1" applyProtection="1">
      <alignment horizontal="right" vertical="center" wrapText="1"/>
    </xf>
    <xf numFmtId="0" fontId="18" fillId="0" borderId="10" xfId="0" applyFont="1" applyFill="1" applyBorder="1" applyAlignment="1" applyProtection="1">
      <alignment horizontal="right" vertical="center" wrapText="1"/>
    </xf>
    <xf numFmtId="0" fontId="18" fillId="0" borderId="10" xfId="0" applyFont="1" applyFill="1" applyBorder="1" applyAlignment="1" applyProtection="1">
      <alignment horizontal="right" vertical="center" wrapText="1" readingOrder="2"/>
    </xf>
    <xf numFmtId="0" fontId="18" fillId="0" borderId="11" xfId="0" applyFont="1" applyFill="1" applyBorder="1" applyAlignment="1" applyProtection="1">
      <alignment horizontal="right" vertical="center" wrapText="1" readingOrder="2"/>
    </xf>
    <xf numFmtId="0" fontId="4" fillId="0" borderId="11" xfId="0" applyFont="1" applyFill="1" applyBorder="1" applyAlignment="1" applyProtection="1">
      <alignment horizontal="right" wrapText="1" readingOrder="2"/>
    </xf>
    <xf numFmtId="0" fontId="4" fillId="0" borderId="10" xfId="0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right"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horizontal="center" vertical="center" wrapText="1" readingOrder="2"/>
    </xf>
    <xf numFmtId="0" fontId="4" fillId="0" borderId="11" xfId="0" applyFont="1" applyFill="1" applyBorder="1" applyAlignment="1" applyProtection="1">
      <alignment horizontal="center" vertical="center" wrapTex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4" fillId="0" borderId="6" xfId="0" applyFont="1" applyFill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right"/>
    </xf>
    <xf numFmtId="0" fontId="9" fillId="5" borderId="8" xfId="0" applyFont="1" applyFill="1" applyBorder="1" applyAlignment="1" applyProtection="1">
      <alignment horizontal="center" vertical="center" wrapText="1"/>
      <protection locked="0"/>
    </xf>
  </cellXfs>
  <cellStyles count="5">
    <cellStyle name="Comma" xfId="3" builtinId="3"/>
    <cellStyle name="Currency" xfId="1" builtinId="4"/>
    <cellStyle name="Normal" xfId="0" builtinId="0"/>
    <cellStyle name="Percent" xfId="4" builtinId="5"/>
    <cellStyle name="היפר-קישור" xfId="2" builtinId="8"/>
  </cellStyles>
  <dxfs count="38"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800000"/>
      <color rgb="FFD1F2F7"/>
      <color rgb="FFFDFAB9"/>
      <color rgb="FFFFEEB7"/>
      <color rgb="FFEEFAFC"/>
      <color rgb="FFD6ECF6"/>
      <color rgb="FFC0C0C0"/>
      <color rgb="FF0000FF"/>
      <color rgb="FFFF00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0</xdr:rowOff>
    </xdr:from>
    <xdr:to>
      <xdr:col>6</xdr:col>
      <xdr:colOff>130969</xdr:colOff>
      <xdr:row>8</xdr:row>
      <xdr:rowOff>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1008937" y="0"/>
          <a:ext cx="1745456" cy="15406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653598</xdr:colOff>
      <xdr:row>0</xdr:row>
      <xdr:rowOff>152550</xdr:rowOff>
    </xdr:from>
    <xdr:to>
      <xdr:col>2</xdr:col>
      <xdr:colOff>420687</xdr:colOff>
      <xdr:row>5</xdr:row>
      <xdr:rowOff>103187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4112875" y="335113"/>
          <a:ext cx="1124402" cy="9031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101843</xdr:rowOff>
    </xdr:from>
    <xdr:to>
      <xdr:col>1</xdr:col>
      <xdr:colOff>1417258</xdr:colOff>
      <xdr:row>6</xdr:row>
      <xdr:rowOff>19526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DC81121F-3A7A-4026-973A-C7D22ECBAD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2806842" y="101843"/>
          <a:ext cx="1363918" cy="1060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101843</xdr:rowOff>
    </xdr:from>
    <xdr:to>
      <xdr:col>1</xdr:col>
      <xdr:colOff>1417258</xdr:colOff>
      <xdr:row>6</xdr:row>
      <xdr:rowOff>19526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0688542" y="101843"/>
          <a:ext cx="1363918" cy="9717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31"/>
  <sheetViews>
    <sheetView rightToLeft="1" tabSelected="1" zoomScaleNormal="100" workbookViewId="0">
      <selection activeCell="I8" sqref="I8"/>
    </sheetView>
  </sheetViews>
  <sheetFormatPr defaultColWidth="9" defaultRowHeight="15" x14ac:dyDescent="0.25"/>
  <cols>
    <col min="1" max="1" width="2.75" style="67" customWidth="1"/>
    <col min="2" max="6" width="9" style="67"/>
    <col min="7" max="7" width="13" style="67" customWidth="1"/>
    <col min="8" max="8" width="21" style="67" customWidth="1"/>
    <col min="9" max="11" width="9" style="67"/>
    <col min="12" max="12" width="4.875" style="67" customWidth="1"/>
    <col min="13" max="13" width="9" style="68"/>
    <col min="14" max="16384" width="9" style="67"/>
  </cols>
  <sheetData>
    <row r="10" spans="2:11" x14ac:dyDescent="0.25">
      <c r="B10" s="141" t="s">
        <v>232</v>
      </c>
      <c r="C10" s="141"/>
      <c r="D10" s="141"/>
      <c r="E10" s="141"/>
      <c r="F10" s="219"/>
      <c r="G10" s="141"/>
      <c r="H10" s="141"/>
      <c r="I10" s="141"/>
      <c r="J10" s="142"/>
      <c r="K10" s="142"/>
    </row>
    <row r="11" spans="2:11" x14ac:dyDescent="0.25">
      <c r="B11" s="141"/>
      <c r="C11" s="141"/>
      <c r="D11" s="141"/>
      <c r="E11" s="141"/>
      <c r="F11" s="141"/>
      <c r="G11" s="141"/>
      <c r="H11" s="141"/>
      <c r="I11" s="142"/>
      <c r="J11" s="142"/>
      <c r="K11" s="142"/>
    </row>
    <row r="12" spans="2:11" x14ac:dyDescent="0.25">
      <c r="B12" s="143" t="s">
        <v>141</v>
      </c>
      <c r="C12" s="143"/>
      <c r="D12" s="143"/>
      <c r="E12" s="144"/>
      <c r="F12" s="144"/>
      <c r="G12" s="144"/>
      <c r="H12" s="144"/>
      <c r="I12" s="144"/>
      <c r="J12" s="144"/>
      <c r="K12" s="144"/>
    </row>
    <row r="13" spans="2:11" x14ac:dyDescent="0.25">
      <c r="B13" s="143" t="s">
        <v>74</v>
      </c>
      <c r="C13" s="143"/>
      <c r="D13" s="143"/>
      <c r="E13" s="144"/>
      <c r="F13" s="144"/>
      <c r="G13" s="144"/>
      <c r="H13" s="144"/>
      <c r="I13" s="144"/>
      <c r="J13" s="144"/>
      <c r="K13" s="144"/>
    </row>
    <row r="14" spans="2:11" x14ac:dyDescent="0.25">
      <c r="B14" s="143" t="s">
        <v>75</v>
      </c>
      <c r="C14" s="143"/>
      <c r="D14" s="143"/>
      <c r="E14" s="144"/>
      <c r="F14" s="144"/>
      <c r="G14" s="144"/>
      <c r="H14" s="144"/>
      <c r="I14" s="144"/>
      <c r="J14" s="144"/>
      <c r="K14" s="144"/>
    </row>
    <row r="15" spans="2:11" x14ac:dyDescent="0.25">
      <c r="B15" s="143"/>
      <c r="C15" s="143"/>
      <c r="D15" s="143"/>
      <c r="E15" s="144"/>
      <c r="F15" s="144"/>
      <c r="G15" s="144"/>
      <c r="H15" s="144"/>
      <c r="I15" s="144"/>
      <c r="J15" s="144"/>
      <c r="K15" s="144"/>
    </row>
    <row r="16" spans="2:11" x14ac:dyDescent="0.25">
      <c r="B16" s="145" t="s">
        <v>66</v>
      </c>
      <c r="C16" s="145"/>
      <c r="D16" s="146"/>
      <c r="E16" s="146"/>
      <c r="F16" s="146"/>
      <c r="G16" s="146"/>
      <c r="H16" s="146"/>
      <c r="I16" s="146"/>
      <c r="J16" s="146"/>
      <c r="K16" s="146"/>
    </row>
    <row r="17" spans="2:11" x14ac:dyDescent="0.25">
      <c r="B17" s="144" t="s">
        <v>142</v>
      </c>
      <c r="C17" s="144"/>
      <c r="D17" s="144"/>
      <c r="E17" s="144"/>
      <c r="F17" s="144"/>
      <c r="G17" s="144"/>
      <c r="H17" s="144"/>
      <c r="I17" s="144"/>
      <c r="J17" s="144"/>
      <c r="K17" s="144"/>
    </row>
    <row r="18" spans="2:11" x14ac:dyDescent="0.25">
      <c r="B18" s="144"/>
      <c r="C18" s="144"/>
      <c r="D18" s="144"/>
      <c r="E18" s="144"/>
      <c r="F18" s="144"/>
      <c r="G18" s="144"/>
      <c r="H18" s="144"/>
      <c r="I18" s="144"/>
      <c r="J18" s="144"/>
      <c r="K18" s="144"/>
    </row>
    <row r="19" spans="2:11" x14ac:dyDescent="0.25">
      <c r="B19" s="144" t="s">
        <v>143</v>
      </c>
      <c r="C19" s="144"/>
      <c r="D19" s="144"/>
      <c r="E19" s="144"/>
      <c r="F19" s="144"/>
      <c r="G19" s="144"/>
      <c r="H19" s="144"/>
      <c r="I19" s="144"/>
      <c r="J19" s="144"/>
      <c r="K19" s="144"/>
    </row>
    <row r="20" spans="2:11" x14ac:dyDescent="0.25">
      <c r="B20" s="144"/>
      <c r="C20" s="144"/>
      <c r="D20" s="144"/>
      <c r="E20" s="144"/>
      <c r="F20" s="144"/>
      <c r="G20" s="144"/>
      <c r="H20" s="144"/>
      <c r="I20" s="144"/>
      <c r="J20" s="144"/>
      <c r="K20" s="144"/>
    </row>
    <row r="21" spans="2:11" x14ac:dyDescent="0.25">
      <c r="B21" s="144" t="s">
        <v>229</v>
      </c>
      <c r="C21" s="144"/>
      <c r="D21" s="144"/>
      <c r="E21" s="144"/>
      <c r="F21" s="144"/>
      <c r="G21" s="144"/>
      <c r="H21" s="144"/>
      <c r="I21" s="144"/>
      <c r="J21" s="144"/>
      <c r="K21" s="144"/>
    </row>
    <row r="22" spans="2:11" x14ac:dyDescent="0.25">
      <c r="B22" s="147" t="s">
        <v>225</v>
      </c>
      <c r="C22" s="144"/>
      <c r="D22" s="144"/>
      <c r="E22" s="144"/>
      <c r="F22" s="144"/>
      <c r="G22" s="144"/>
      <c r="H22" s="144"/>
      <c r="I22" s="144"/>
      <c r="J22" s="144"/>
      <c r="K22" s="144"/>
    </row>
    <row r="23" spans="2:11" x14ac:dyDescent="0.25">
      <c r="B23" s="148"/>
      <c r="C23" s="144"/>
      <c r="D23" s="144"/>
      <c r="E23" s="144"/>
      <c r="F23" s="144"/>
      <c r="G23" s="144"/>
      <c r="H23" s="144"/>
      <c r="I23" s="144"/>
      <c r="J23" s="144"/>
      <c r="K23" s="144"/>
    </row>
    <row r="24" spans="2:11" x14ac:dyDescent="0.25">
      <c r="B24" s="144" t="s">
        <v>236</v>
      </c>
      <c r="C24" s="144"/>
      <c r="D24" s="144"/>
      <c r="E24" s="144"/>
      <c r="F24" s="144"/>
      <c r="G24" s="144"/>
      <c r="H24" s="144"/>
      <c r="I24" s="144"/>
      <c r="J24" s="144"/>
      <c r="K24" s="144"/>
    </row>
    <row r="25" spans="2:11" x14ac:dyDescent="0.25">
      <c r="B25" s="144"/>
      <c r="C25" s="144"/>
      <c r="D25" s="144"/>
      <c r="E25" s="144"/>
      <c r="F25" s="144"/>
      <c r="G25" s="144"/>
      <c r="H25" s="144"/>
      <c r="I25" s="144"/>
      <c r="J25" s="144"/>
      <c r="K25" s="144"/>
    </row>
    <row r="26" spans="2:11" x14ac:dyDescent="0.25">
      <c r="B26" s="149" t="s">
        <v>144</v>
      </c>
      <c r="C26" s="149"/>
      <c r="D26" s="149"/>
      <c r="E26" s="149"/>
      <c r="F26" s="149"/>
      <c r="G26" s="149"/>
      <c r="H26" s="149"/>
      <c r="I26" s="149"/>
      <c r="J26" s="149"/>
      <c r="K26" s="149"/>
    </row>
    <row r="27" spans="2:11" x14ac:dyDescent="0.25">
      <c r="B27" s="149"/>
      <c r="C27" s="149"/>
      <c r="D27" s="149"/>
      <c r="E27" s="149"/>
      <c r="F27" s="149"/>
      <c r="G27" s="149"/>
      <c r="H27" s="149"/>
      <c r="I27" s="149"/>
      <c r="J27" s="149"/>
      <c r="K27" s="149"/>
    </row>
    <row r="28" spans="2:11" x14ac:dyDescent="0.25">
      <c r="B28" s="149" t="s">
        <v>147</v>
      </c>
      <c r="C28" s="149"/>
      <c r="D28" s="149"/>
      <c r="E28" s="149"/>
      <c r="F28" s="149"/>
      <c r="G28" s="149"/>
      <c r="H28" s="149"/>
      <c r="I28" s="149"/>
      <c r="J28" s="149"/>
      <c r="K28" s="149"/>
    </row>
    <row r="29" spans="2:11" x14ac:dyDescent="0.25">
      <c r="B29" s="144"/>
      <c r="C29" s="144"/>
      <c r="D29" s="144"/>
      <c r="E29" s="144"/>
      <c r="F29" s="144"/>
      <c r="G29" s="144"/>
      <c r="H29" s="144"/>
      <c r="I29" s="144"/>
      <c r="J29" s="144"/>
      <c r="K29" s="144"/>
    </row>
    <row r="30" spans="2:11" x14ac:dyDescent="0.25">
      <c r="B30" s="150" t="s">
        <v>145</v>
      </c>
      <c r="C30" s="149"/>
      <c r="D30" s="149"/>
      <c r="E30" s="149"/>
      <c r="F30" s="149"/>
      <c r="G30" s="149"/>
      <c r="H30" s="149"/>
      <c r="I30" s="149"/>
      <c r="J30" s="149"/>
      <c r="K30" s="149"/>
    </row>
    <row r="31" spans="2:11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rightToLeft="1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18.5" defaultRowHeight="15" x14ac:dyDescent="0.25"/>
  <cols>
    <col min="1" max="1" width="18.5" style="194" customWidth="1"/>
    <col min="2" max="2" width="17.25" style="194" customWidth="1"/>
    <col min="3" max="3" width="18.625" style="194" customWidth="1"/>
    <col min="4" max="4" width="9.25" style="194" customWidth="1"/>
    <col min="5" max="6" width="11.5" style="194" customWidth="1"/>
    <col min="7" max="7" width="11.375" style="194" customWidth="1"/>
    <col min="8" max="8" width="12.125" style="194" customWidth="1"/>
    <col min="9" max="9" width="1.5" style="194" customWidth="1"/>
    <col min="10" max="10" width="12.125" style="194" customWidth="1"/>
    <col min="11" max="11" width="8.875" style="195" customWidth="1"/>
    <col min="12" max="12" width="13.75" style="194" customWidth="1"/>
    <col min="13" max="13" width="27.25" style="194" customWidth="1"/>
    <col min="14" max="16384" width="18.5" style="194"/>
  </cols>
  <sheetData>
    <row r="1" spans="1:13" x14ac:dyDescent="0.25">
      <c r="A1" s="196" t="str">
        <f>'תוכן עיניינים'!B15</f>
        <v>ציוד נוסף שלא קיים בתקן</v>
      </c>
      <c r="B1" s="228" t="s">
        <v>54</v>
      </c>
      <c r="C1" s="227" t="s">
        <v>226</v>
      </c>
      <c r="D1" s="197"/>
      <c r="E1" s="197"/>
      <c r="F1" s="197"/>
      <c r="G1" s="197"/>
      <c r="H1" s="197"/>
      <c r="I1" s="197"/>
      <c r="J1" s="197"/>
      <c r="K1" s="198"/>
      <c r="L1" s="199"/>
      <c r="M1" s="197"/>
    </row>
    <row r="2" spans="1:13" ht="45" x14ac:dyDescent="0.25">
      <c r="A2" s="200" t="s">
        <v>194</v>
      </c>
      <c r="B2" s="201" t="s">
        <v>108</v>
      </c>
      <c r="C2" s="200" t="s">
        <v>109</v>
      </c>
      <c r="D2" s="200" t="s">
        <v>1</v>
      </c>
      <c r="E2" s="200" t="s">
        <v>150</v>
      </c>
      <c r="F2" s="200" t="s">
        <v>151</v>
      </c>
      <c r="G2" s="200" t="s">
        <v>223</v>
      </c>
      <c r="H2" s="200" t="s">
        <v>110</v>
      </c>
      <c r="I2" s="197"/>
      <c r="J2" s="35" t="s">
        <v>140</v>
      </c>
      <c r="K2" s="200" t="s">
        <v>36</v>
      </c>
      <c r="L2" s="200" t="s">
        <v>37</v>
      </c>
      <c r="M2" s="200" t="s">
        <v>35</v>
      </c>
    </row>
    <row r="3" spans="1:13" x14ac:dyDescent="0.25">
      <c r="A3" s="265"/>
      <c r="B3" s="129"/>
      <c r="C3" s="129"/>
      <c r="D3" s="65"/>
      <c r="E3" s="66"/>
      <c r="F3" s="66"/>
      <c r="G3" s="66"/>
      <c r="H3" s="8">
        <f>(MIN($E3:$G3))*D3</f>
        <v>0</v>
      </c>
      <c r="J3" s="85"/>
      <c r="K3" s="86" t="str">
        <f t="shared" ref="K3" si="0">IF(ISBLANK(J3),"",IF(J3="מאשר",D3,"נא למלא כמות מאושרת"))</f>
        <v/>
      </c>
      <c r="L3" s="8" t="str">
        <f>IFERROR(IF(J3="","",(MIN($E3:$G3))*K3),"")</f>
        <v/>
      </c>
      <c r="M3" s="13"/>
    </row>
    <row r="4" spans="1:13" x14ac:dyDescent="0.25">
      <c r="A4" s="265"/>
      <c r="B4" s="129"/>
      <c r="C4" s="129"/>
      <c r="D4" s="65"/>
      <c r="E4" s="66"/>
      <c r="F4" s="66"/>
      <c r="G4" s="66"/>
      <c r="H4" s="8">
        <f t="shared" ref="H4:H27" si="1">(MIN($E4:$G4))*D4</f>
        <v>0</v>
      </c>
      <c r="J4" s="85"/>
      <c r="K4" s="86" t="str">
        <f t="shared" ref="K4:K27" si="2">IF(ISBLANK(J4),"",IF(J4="מאשר",D4,"נא למלא כמות מאושרת"))</f>
        <v/>
      </c>
      <c r="L4" s="8" t="str">
        <f t="shared" ref="L4:L27" si="3">IFERROR(IF(J4="","",(MIN($E4:$G4))*K4),"")</f>
        <v/>
      </c>
      <c r="M4" s="13"/>
    </row>
    <row r="5" spans="1:13" x14ac:dyDescent="0.25">
      <c r="A5" s="265"/>
      <c r="B5" s="129"/>
      <c r="C5" s="129"/>
      <c r="D5" s="65"/>
      <c r="E5" s="66"/>
      <c r="F5" s="66"/>
      <c r="G5" s="66"/>
      <c r="H5" s="8">
        <f t="shared" si="1"/>
        <v>0</v>
      </c>
      <c r="J5" s="85"/>
      <c r="K5" s="86" t="str">
        <f t="shared" si="2"/>
        <v/>
      </c>
      <c r="L5" s="8" t="str">
        <f t="shared" si="3"/>
        <v/>
      </c>
      <c r="M5" s="13"/>
    </row>
    <row r="6" spans="1:13" x14ac:dyDescent="0.25">
      <c r="A6" s="265"/>
      <c r="B6" s="129"/>
      <c r="C6" s="129"/>
      <c r="D6" s="65"/>
      <c r="E6" s="66"/>
      <c r="F6" s="66"/>
      <c r="G6" s="66"/>
      <c r="H6" s="8">
        <f t="shared" si="1"/>
        <v>0</v>
      </c>
      <c r="J6" s="85"/>
      <c r="K6" s="86" t="str">
        <f t="shared" si="2"/>
        <v/>
      </c>
      <c r="L6" s="8" t="str">
        <f t="shared" si="3"/>
        <v/>
      </c>
      <c r="M6" s="13"/>
    </row>
    <row r="7" spans="1:13" x14ac:dyDescent="0.25">
      <c r="A7" s="265"/>
      <c r="B7" s="129"/>
      <c r="C7" s="129"/>
      <c r="D7" s="65"/>
      <c r="E7" s="66"/>
      <c r="F7" s="66"/>
      <c r="G7" s="66"/>
      <c r="H7" s="8">
        <f t="shared" si="1"/>
        <v>0</v>
      </c>
      <c r="J7" s="85"/>
      <c r="K7" s="86" t="str">
        <f t="shared" si="2"/>
        <v/>
      </c>
      <c r="L7" s="8" t="str">
        <f t="shared" si="3"/>
        <v/>
      </c>
      <c r="M7" s="13"/>
    </row>
    <row r="8" spans="1:13" x14ac:dyDescent="0.25">
      <c r="A8" s="265"/>
      <c r="B8" s="129"/>
      <c r="C8" s="129"/>
      <c r="D8" s="65"/>
      <c r="E8" s="66"/>
      <c r="F8" s="66"/>
      <c r="G8" s="66"/>
      <c r="H8" s="8">
        <f t="shared" si="1"/>
        <v>0</v>
      </c>
      <c r="J8" s="85"/>
      <c r="K8" s="86" t="str">
        <f t="shared" si="2"/>
        <v/>
      </c>
      <c r="L8" s="8" t="str">
        <f t="shared" si="3"/>
        <v/>
      </c>
      <c r="M8" s="13"/>
    </row>
    <row r="9" spans="1:13" x14ac:dyDescent="0.25">
      <c r="A9" s="265"/>
      <c r="B9" s="129"/>
      <c r="C9" s="129"/>
      <c r="D9" s="65"/>
      <c r="E9" s="66"/>
      <c r="F9" s="66"/>
      <c r="G9" s="66"/>
      <c r="H9" s="8">
        <f t="shared" si="1"/>
        <v>0</v>
      </c>
      <c r="J9" s="85"/>
      <c r="K9" s="86" t="str">
        <f t="shared" si="2"/>
        <v/>
      </c>
      <c r="L9" s="8" t="str">
        <f t="shared" si="3"/>
        <v/>
      </c>
      <c r="M9" s="13"/>
    </row>
    <row r="10" spans="1:13" x14ac:dyDescent="0.25">
      <c r="A10" s="265"/>
      <c r="B10" s="129"/>
      <c r="C10" s="129"/>
      <c r="D10" s="65"/>
      <c r="E10" s="66"/>
      <c r="F10" s="66"/>
      <c r="G10" s="66"/>
      <c r="H10" s="8">
        <f t="shared" si="1"/>
        <v>0</v>
      </c>
      <c r="J10" s="85"/>
      <c r="K10" s="86" t="str">
        <f t="shared" si="2"/>
        <v/>
      </c>
      <c r="L10" s="8" t="str">
        <f t="shared" si="3"/>
        <v/>
      </c>
      <c r="M10" s="13"/>
    </row>
    <row r="11" spans="1:13" x14ac:dyDescent="0.25">
      <c r="A11" s="265"/>
      <c r="B11" s="129"/>
      <c r="C11" s="129"/>
      <c r="D11" s="65"/>
      <c r="E11" s="66"/>
      <c r="F11" s="66"/>
      <c r="G11" s="66"/>
      <c r="H11" s="8">
        <f t="shared" si="1"/>
        <v>0</v>
      </c>
      <c r="J11" s="85"/>
      <c r="K11" s="86" t="str">
        <f t="shared" si="2"/>
        <v/>
      </c>
      <c r="L11" s="8" t="str">
        <f t="shared" si="3"/>
        <v/>
      </c>
      <c r="M11" s="13"/>
    </row>
    <row r="12" spans="1:13" x14ac:dyDescent="0.25">
      <c r="A12" s="265"/>
      <c r="B12" s="129"/>
      <c r="C12" s="129"/>
      <c r="D12" s="65"/>
      <c r="E12" s="66"/>
      <c r="F12" s="66"/>
      <c r="G12" s="66"/>
      <c r="H12" s="8">
        <f t="shared" si="1"/>
        <v>0</v>
      </c>
      <c r="J12" s="85"/>
      <c r="K12" s="86" t="str">
        <f t="shared" si="2"/>
        <v/>
      </c>
      <c r="L12" s="8" t="str">
        <f t="shared" si="3"/>
        <v/>
      </c>
      <c r="M12" s="13"/>
    </row>
    <row r="13" spans="1:13" x14ac:dyDescent="0.25">
      <c r="A13" s="265"/>
      <c r="B13" s="129"/>
      <c r="C13" s="129"/>
      <c r="D13" s="65"/>
      <c r="E13" s="66"/>
      <c r="F13" s="66"/>
      <c r="G13" s="66"/>
      <c r="H13" s="8">
        <f t="shared" si="1"/>
        <v>0</v>
      </c>
      <c r="J13" s="85"/>
      <c r="K13" s="86" t="str">
        <f t="shared" si="2"/>
        <v/>
      </c>
      <c r="L13" s="8" t="str">
        <f t="shared" si="3"/>
        <v/>
      </c>
      <c r="M13" s="13"/>
    </row>
    <row r="14" spans="1:13" x14ac:dyDescent="0.25">
      <c r="A14" s="265"/>
      <c r="B14" s="129"/>
      <c r="C14" s="129"/>
      <c r="D14" s="65"/>
      <c r="E14" s="66"/>
      <c r="F14" s="66"/>
      <c r="G14" s="66"/>
      <c r="H14" s="8">
        <f t="shared" si="1"/>
        <v>0</v>
      </c>
      <c r="J14" s="85"/>
      <c r="K14" s="86" t="str">
        <f t="shared" si="2"/>
        <v/>
      </c>
      <c r="L14" s="8" t="str">
        <f t="shared" si="3"/>
        <v/>
      </c>
      <c r="M14" s="13"/>
    </row>
    <row r="15" spans="1:13" x14ac:dyDescent="0.25">
      <c r="A15" s="265"/>
      <c r="B15" s="129"/>
      <c r="C15" s="129"/>
      <c r="D15" s="65"/>
      <c r="E15" s="66"/>
      <c r="F15" s="66"/>
      <c r="G15" s="66"/>
      <c r="H15" s="8">
        <f t="shared" si="1"/>
        <v>0</v>
      </c>
      <c r="J15" s="85"/>
      <c r="K15" s="86" t="str">
        <f t="shared" si="2"/>
        <v/>
      </c>
      <c r="L15" s="8" t="str">
        <f t="shared" si="3"/>
        <v/>
      </c>
      <c r="M15" s="13"/>
    </row>
    <row r="16" spans="1:13" x14ac:dyDescent="0.25">
      <c r="A16" s="265"/>
      <c r="B16" s="129"/>
      <c r="C16" s="129"/>
      <c r="D16" s="65"/>
      <c r="E16" s="66"/>
      <c r="F16" s="66"/>
      <c r="G16" s="66"/>
      <c r="H16" s="8">
        <f t="shared" si="1"/>
        <v>0</v>
      </c>
      <c r="J16" s="85"/>
      <c r="K16" s="86" t="str">
        <f t="shared" si="2"/>
        <v/>
      </c>
      <c r="L16" s="8" t="str">
        <f t="shared" si="3"/>
        <v/>
      </c>
      <c r="M16" s="13"/>
    </row>
    <row r="17" spans="1:13" x14ac:dyDescent="0.25">
      <c r="A17" s="265"/>
      <c r="B17" s="129"/>
      <c r="C17" s="129"/>
      <c r="D17" s="65"/>
      <c r="E17" s="66"/>
      <c r="F17" s="66"/>
      <c r="G17" s="66"/>
      <c r="H17" s="8">
        <f t="shared" si="1"/>
        <v>0</v>
      </c>
      <c r="J17" s="85"/>
      <c r="K17" s="86" t="str">
        <f t="shared" si="2"/>
        <v/>
      </c>
      <c r="L17" s="8" t="str">
        <f t="shared" si="3"/>
        <v/>
      </c>
      <c r="M17" s="13"/>
    </row>
    <row r="18" spans="1:13" x14ac:dyDescent="0.25">
      <c r="A18" s="265"/>
      <c r="B18" s="129"/>
      <c r="C18" s="129"/>
      <c r="D18" s="65"/>
      <c r="E18" s="66"/>
      <c r="F18" s="66"/>
      <c r="G18" s="66"/>
      <c r="H18" s="8">
        <f t="shared" si="1"/>
        <v>0</v>
      </c>
      <c r="J18" s="85"/>
      <c r="K18" s="86" t="str">
        <f t="shared" si="2"/>
        <v/>
      </c>
      <c r="L18" s="8" t="str">
        <f t="shared" si="3"/>
        <v/>
      </c>
      <c r="M18" s="13"/>
    </row>
    <row r="19" spans="1:13" x14ac:dyDescent="0.25">
      <c r="A19" s="265"/>
      <c r="B19" s="129"/>
      <c r="C19" s="129"/>
      <c r="D19" s="65"/>
      <c r="E19" s="66"/>
      <c r="F19" s="66"/>
      <c r="G19" s="66"/>
      <c r="H19" s="8">
        <f t="shared" si="1"/>
        <v>0</v>
      </c>
      <c r="J19" s="85"/>
      <c r="K19" s="86" t="str">
        <f t="shared" si="2"/>
        <v/>
      </c>
      <c r="L19" s="8" t="str">
        <f t="shared" si="3"/>
        <v/>
      </c>
      <c r="M19" s="13"/>
    </row>
    <row r="20" spans="1:13" x14ac:dyDescent="0.25">
      <c r="A20" s="265"/>
      <c r="B20" s="129"/>
      <c r="C20" s="129"/>
      <c r="D20" s="65"/>
      <c r="E20" s="66"/>
      <c r="F20" s="66"/>
      <c r="G20" s="66"/>
      <c r="H20" s="8">
        <f t="shared" si="1"/>
        <v>0</v>
      </c>
      <c r="J20" s="85"/>
      <c r="K20" s="86" t="str">
        <f t="shared" si="2"/>
        <v/>
      </c>
      <c r="L20" s="8" t="str">
        <f t="shared" si="3"/>
        <v/>
      </c>
      <c r="M20" s="13"/>
    </row>
    <row r="21" spans="1:13" x14ac:dyDescent="0.25">
      <c r="A21" s="265"/>
      <c r="B21" s="129"/>
      <c r="C21" s="129"/>
      <c r="D21" s="65"/>
      <c r="E21" s="66"/>
      <c r="F21" s="66"/>
      <c r="G21" s="66"/>
      <c r="H21" s="8">
        <f t="shared" si="1"/>
        <v>0</v>
      </c>
      <c r="J21" s="85"/>
      <c r="K21" s="86" t="str">
        <f t="shared" si="2"/>
        <v/>
      </c>
      <c r="L21" s="8" t="str">
        <f t="shared" si="3"/>
        <v/>
      </c>
      <c r="M21" s="13"/>
    </row>
    <row r="22" spans="1:13" x14ac:dyDescent="0.25">
      <c r="A22" s="265"/>
      <c r="B22" s="129"/>
      <c r="C22" s="129"/>
      <c r="D22" s="65"/>
      <c r="E22" s="66"/>
      <c r="F22" s="66"/>
      <c r="G22" s="66"/>
      <c r="H22" s="8">
        <f t="shared" si="1"/>
        <v>0</v>
      </c>
      <c r="J22" s="85"/>
      <c r="K22" s="86" t="str">
        <f t="shared" si="2"/>
        <v/>
      </c>
      <c r="L22" s="8" t="str">
        <f t="shared" si="3"/>
        <v/>
      </c>
      <c r="M22" s="13"/>
    </row>
    <row r="23" spans="1:13" x14ac:dyDescent="0.25">
      <c r="A23" s="265"/>
      <c r="B23" s="129"/>
      <c r="C23" s="129"/>
      <c r="D23" s="65"/>
      <c r="E23" s="66"/>
      <c r="F23" s="66"/>
      <c r="G23" s="66"/>
      <c r="H23" s="8">
        <f t="shared" si="1"/>
        <v>0</v>
      </c>
      <c r="J23" s="85"/>
      <c r="K23" s="86" t="str">
        <f t="shared" si="2"/>
        <v/>
      </c>
      <c r="L23" s="8" t="str">
        <f t="shared" si="3"/>
        <v/>
      </c>
      <c r="M23" s="13"/>
    </row>
    <row r="24" spans="1:13" x14ac:dyDescent="0.25">
      <c r="A24" s="265"/>
      <c r="B24" s="129"/>
      <c r="C24" s="129"/>
      <c r="D24" s="65"/>
      <c r="E24" s="66"/>
      <c r="F24" s="66"/>
      <c r="G24" s="66"/>
      <c r="H24" s="8">
        <f t="shared" si="1"/>
        <v>0</v>
      </c>
      <c r="J24" s="85"/>
      <c r="K24" s="86" t="str">
        <f t="shared" si="2"/>
        <v/>
      </c>
      <c r="L24" s="8" t="str">
        <f t="shared" si="3"/>
        <v/>
      </c>
      <c r="M24" s="13"/>
    </row>
    <row r="25" spans="1:13" x14ac:dyDescent="0.25">
      <c r="A25" s="265"/>
      <c r="B25" s="129"/>
      <c r="C25" s="129"/>
      <c r="D25" s="65"/>
      <c r="E25" s="66"/>
      <c r="F25" s="66"/>
      <c r="G25" s="66"/>
      <c r="H25" s="8">
        <f t="shared" si="1"/>
        <v>0</v>
      </c>
      <c r="J25" s="85"/>
      <c r="K25" s="86" t="str">
        <f t="shared" si="2"/>
        <v/>
      </c>
      <c r="L25" s="8" t="str">
        <f t="shared" si="3"/>
        <v/>
      </c>
      <c r="M25" s="13"/>
    </row>
    <row r="26" spans="1:13" x14ac:dyDescent="0.25">
      <c r="A26" s="265"/>
      <c r="B26" s="129"/>
      <c r="C26" s="129"/>
      <c r="D26" s="65"/>
      <c r="E26" s="66"/>
      <c r="F26" s="66"/>
      <c r="G26" s="66"/>
      <c r="H26" s="8">
        <f t="shared" si="1"/>
        <v>0</v>
      </c>
      <c r="J26" s="85"/>
      <c r="K26" s="86" t="str">
        <f t="shared" si="2"/>
        <v/>
      </c>
      <c r="L26" s="8" t="str">
        <f t="shared" si="3"/>
        <v/>
      </c>
      <c r="M26" s="13"/>
    </row>
    <row r="27" spans="1:13" x14ac:dyDescent="0.25">
      <c r="A27" s="265"/>
      <c r="B27" s="129"/>
      <c r="C27" s="129"/>
      <c r="D27" s="65"/>
      <c r="E27" s="66"/>
      <c r="F27" s="66"/>
      <c r="G27" s="66"/>
      <c r="H27" s="8">
        <f t="shared" si="1"/>
        <v>0</v>
      </c>
      <c r="J27" s="85"/>
      <c r="K27" s="86" t="str">
        <f t="shared" si="2"/>
        <v/>
      </c>
      <c r="L27" s="8" t="str">
        <f t="shared" si="3"/>
        <v/>
      </c>
      <c r="M27" s="13"/>
    </row>
    <row r="28" spans="1:13" s="197" customFormat="1" x14ac:dyDescent="0.25">
      <c r="A28" s="221" t="s">
        <v>4</v>
      </c>
      <c r="B28" s="222"/>
      <c r="C28" s="222"/>
      <c r="D28" s="222"/>
      <c r="E28" s="222"/>
      <c r="F28" s="222"/>
      <c r="G28" s="223"/>
      <c r="H28" s="8">
        <f>SUM(H3:H27)</f>
        <v>0</v>
      </c>
      <c r="I28" s="224"/>
      <c r="J28" s="225"/>
      <c r="K28" s="226"/>
      <c r="L28" s="8">
        <f>SUM(L3:L27)</f>
        <v>0</v>
      </c>
      <c r="M28" s="225"/>
    </row>
  </sheetData>
  <sheetProtection algorithmName="SHA-512" hashValue="8NaaTw+AikJj1FEkZxO0yfJmJlFrdnafPlG9UrxFiEUfmrr69pvTWSQkrOPxSYGtM6FP3xf7gQKuT/Q5ATivnw==" saltValue="geipoK4LDhkZBZ53EYcKtg==" spinCount="100000" sheet="1" objects="1" scenarios="1"/>
  <mergeCells count="5">
    <mergeCell ref="A3:A7"/>
    <mergeCell ref="A8:A12"/>
    <mergeCell ref="A13:A17"/>
    <mergeCell ref="A18:A22"/>
    <mergeCell ref="A23:A27"/>
  </mergeCells>
  <dataValidations count="1">
    <dataValidation type="list" allowBlank="1" showInputMessage="1" showErrorMessage="1" sqref="J3:J27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C23"/>
  <sheetViews>
    <sheetView rightToLeft="1" zoomScaleNormal="100" workbookViewId="0">
      <selection activeCell="C12" sqref="C12"/>
    </sheetView>
  </sheetViews>
  <sheetFormatPr defaultColWidth="9.125" defaultRowHeight="15" x14ac:dyDescent="0.25"/>
  <cols>
    <col min="1" max="1" width="2.875" style="208" customWidth="1"/>
    <col min="2" max="2" width="20.25" style="208" customWidth="1"/>
    <col min="3" max="3" width="19.125" style="208" customWidth="1"/>
    <col min="4" max="16384" width="9.125" style="208"/>
  </cols>
  <sheetData>
    <row r="8" spans="2:3" x14ac:dyDescent="0.25">
      <c r="B8" s="208" t="s">
        <v>116</v>
      </c>
    </row>
    <row r="9" spans="2:3" x14ac:dyDescent="0.25">
      <c r="B9" s="208" t="s">
        <v>51</v>
      </c>
      <c r="C9" s="230">
        <f>'שאלון למילוי מגיש הבקשה - חובה'!$G$5</f>
        <v>0</v>
      </c>
    </row>
    <row r="10" spans="2:3" x14ac:dyDescent="0.25">
      <c r="B10" s="2" t="s">
        <v>152</v>
      </c>
      <c r="C10" s="208">
        <f>'שאלון למילוי מגיש הבקשה - חובה'!G7</f>
        <v>0</v>
      </c>
    </row>
    <row r="11" spans="2:3" x14ac:dyDescent="0.25">
      <c r="B11" s="208" t="str">
        <f>'שאלון למילוי מגיש הבקשה - חובה'!C18</f>
        <v>שם המסגרת:</v>
      </c>
      <c r="C11" s="208">
        <f>'שאלון למילוי מגיש הבקשה - חובה'!G18</f>
        <v>0</v>
      </c>
    </row>
    <row r="12" spans="2:3" x14ac:dyDescent="0.25">
      <c r="B12" s="208" t="s">
        <v>50</v>
      </c>
      <c r="C12" s="208">
        <f>'שאלון למילוי מגיש הבקשה - חובה'!G33</f>
        <v>0</v>
      </c>
    </row>
    <row r="13" spans="2:3" x14ac:dyDescent="0.25">
      <c r="B13" s="208" t="s">
        <v>114</v>
      </c>
      <c r="C13" s="208">
        <f>'שאלון למילוי מגיש הבקשה - חובה'!G35</f>
        <v>0</v>
      </c>
    </row>
    <row r="15" spans="2:3" ht="27.75" x14ac:dyDescent="0.25">
      <c r="B15" s="4" t="s">
        <v>113</v>
      </c>
      <c r="C15" s="4" t="s">
        <v>235</v>
      </c>
    </row>
    <row r="16" spans="2:3" ht="15" customHeight="1" x14ac:dyDescent="0.25">
      <c r="B16" s="57" t="str">
        <f>'תוכן עיניינים'!B9</f>
        <v>ציוד כללי</v>
      </c>
      <c r="C16" s="231">
        <f>'ציוד כללי'!I55</f>
        <v>0</v>
      </c>
    </row>
    <row r="17" spans="2:3" x14ac:dyDescent="0.25">
      <c r="B17" s="57" t="str">
        <f>'תוכן עיניינים'!B10</f>
        <v>מחשוב</v>
      </c>
      <c r="C17" s="231">
        <f>מחשוב!I25</f>
        <v>0</v>
      </c>
    </row>
    <row r="18" spans="2:3" x14ac:dyDescent="0.25">
      <c r="B18" s="57" t="str">
        <f>'תוכן עיניינים'!B11</f>
        <v>מתקני כושר לחצר</v>
      </c>
      <c r="C18" s="231">
        <f>'מתקני כושר לחצר'!I14</f>
        <v>0</v>
      </c>
    </row>
    <row r="19" spans="2:3" x14ac:dyDescent="0.25">
      <c r="B19" s="57" t="str">
        <f>'תוכן עיניינים'!B12</f>
        <v>מתקני חדר כושר</v>
      </c>
      <c r="C19" s="231">
        <f>'מתקני חדר כושר'!I13</f>
        <v>0</v>
      </c>
    </row>
    <row r="20" spans="2:3" x14ac:dyDescent="0.25">
      <c r="B20" s="57" t="str">
        <f>'תוכן עיניינים'!B13</f>
        <v>מתקני חצר לילדים</v>
      </c>
      <c r="C20" s="231">
        <f>'מתקני חצר לילדים'!I14</f>
        <v>0</v>
      </c>
    </row>
    <row r="21" spans="2:3" x14ac:dyDescent="0.25">
      <c r="B21" s="57" t="str">
        <f>'תוכן עיניינים'!B14</f>
        <v>ציוד חוגים</v>
      </c>
      <c r="C21" s="231">
        <f>חוגים!I15</f>
        <v>0</v>
      </c>
    </row>
    <row r="22" spans="2:3" x14ac:dyDescent="0.25">
      <c r="B22" s="57" t="str">
        <f>'תוכן עיניינים'!B15</f>
        <v>ציוד נוסף שלא קיים בתקן</v>
      </c>
      <c r="C22" s="231">
        <f>'ציוד נוסף שלא קיים בתקן'!H28</f>
        <v>0</v>
      </c>
    </row>
    <row r="23" spans="2:3" x14ac:dyDescent="0.25">
      <c r="B23" s="57" t="s">
        <v>115</v>
      </c>
      <c r="C23" s="231">
        <f>SUM(C16:C22)</f>
        <v>0</v>
      </c>
    </row>
  </sheetData>
  <sheetProtection password="CC3D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6:E42"/>
  <sheetViews>
    <sheetView rightToLeft="1" zoomScaleNormal="100" workbookViewId="0"/>
  </sheetViews>
  <sheetFormatPr defaultColWidth="9.125" defaultRowHeight="15" x14ac:dyDescent="0.25"/>
  <cols>
    <col min="1" max="1" width="2.875" style="208" customWidth="1"/>
    <col min="2" max="2" width="20.25" style="208" customWidth="1"/>
    <col min="3" max="3" width="19.125" style="208" customWidth="1"/>
    <col min="4" max="4" width="17.375" style="208" customWidth="1"/>
    <col min="5" max="5" width="15.375" style="208" customWidth="1"/>
    <col min="6" max="16384" width="9.125" style="208"/>
  </cols>
  <sheetData>
    <row r="6" spans="2:5" x14ac:dyDescent="0.25">
      <c r="D6" s="56" t="s">
        <v>117</v>
      </c>
      <c r="E6" s="58">
        <f>'שאלון למילוי מגיש הבקשה - חובה'!G29</f>
        <v>0</v>
      </c>
    </row>
    <row r="7" spans="2:5" x14ac:dyDescent="0.25">
      <c r="D7" s="56" t="s">
        <v>127</v>
      </c>
      <c r="E7" s="58">
        <f>'שאלון למילוי מגיש הבקשה - חובה'!G31</f>
        <v>0</v>
      </c>
    </row>
    <row r="8" spans="2:5" ht="15.75" x14ac:dyDescent="0.25">
      <c r="B8" s="208" t="s">
        <v>116</v>
      </c>
      <c r="D8" s="229" t="s">
        <v>146</v>
      </c>
      <c r="E8" s="243"/>
    </row>
    <row r="9" spans="2:5" x14ac:dyDescent="0.25">
      <c r="B9" s="208" t="s">
        <v>51</v>
      </c>
      <c r="C9" s="230">
        <f>'שאלון למילוי מגיש הבקשה - חובה'!$G$5</f>
        <v>0</v>
      </c>
    </row>
    <row r="10" spans="2:5" x14ac:dyDescent="0.25">
      <c r="B10" s="2" t="s">
        <v>152</v>
      </c>
      <c r="C10" s="208">
        <f>'שאלון למילוי מגיש הבקשה - חובה'!G7</f>
        <v>0</v>
      </c>
    </row>
    <row r="11" spans="2:5" x14ac:dyDescent="0.25">
      <c r="B11" s="208" t="str">
        <f>'שאלון למילוי מגיש הבקשה - חובה'!C18</f>
        <v>שם המסגרת:</v>
      </c>
      <c r="C11" s="208">
        <f>'שאלון למילוי מגיש הבקשה - חובה'!G18</f>
        <v>0</v>
      </c>
    </row>
    <row r="12" spans="2:5" x14ac:dyDescent="0.25">
      <c r="B12" s="208" t="s">
        <v>50</v>
      </c>
      <c r="C12" s="208">
        <f>'שאלון למילוי מגיש הבקשה - חובה'!G33</f>
        <v>0</v>
      </c>
    </row>
    <row r="13" spans="2:5" x14ac:dyDescent="0.25">
      <c r="B13" s="208" t="s">
        <v>114</v>
      </c>
      <c r="C13" s="208">
        <f>'שאלון למילוי מגיש הבקשה - חובה'!G35</f>
        <v>0</v>
      </c>
    </row>
    <row r="15" spans="2:5" ht="45" x14ac:dyDescent="0.25">
      <c r="B15" s="4" t="s">
        <v>113</v>
      </c>
      <c r="C15" s="4" t="s">
        <v>129</v>
      </c>
    </row>
    <row r="16" spans="2:5" ht="15" customHeight="1" x14ac:dyDescent="0.25">
      <c r="B16" s="57" t="str">
        <f>'תוכן עיניינים'!B9</f>
        <v>ציוד כללי</v>
      </c>
      <c r="C16" s="231">
        <f>'ציוד כללי'!O55</f>
        <v>0</v>
      </c>
    </row>
    <row r="17" spans="2:4" x14ac:dyDescent="0.25">
      <c r="B17" s="57" t="str">
        <f>'תוכן עיניינים'!B10</f>
        <v>מחשוב</v>
      </c>
      <c r="C17" s="231">
        <f>מחשוב!O25</f>
        <v>0</v>
      </c>
    </row>
    <row r="18" spans="2:4" x14ac:dyDescent="0.25">
      <c r="B18" s="57" t="str">
        <f>'תוכן עיניינים'!B11</f>
        <v>מתקני כושר לחצר</v>
      </c>
      <c r="C18" s="231">
        <f>'מתקני כושר לחצר'!O14</f>
        <v>0</v>
      </c>
    </row>
    <row r="19" spans="2:4" x14ac:dyDescent="0.25">
      <c r="B19" s="57" t="str">
        <f>'תוכן עיניינים'!B12</f>
        <v>מתקני חדר כושר</v>
      </c>
      <c r="C19" s="231">
        <f>'מתקני חדר כושר'!O13</f>
        <v>0</v>
      </c>
    </row>
    <row r="20" spans="2:4" x14ac:dyDescent="0.25">
      <c r="B20" s="57" t="str">
        <f>'תוכן עיניינים'!B13</f>
        <v>מתקני חצר לילדים</v>
      </c>
      <c r="C20" s="231">
        <f>'מתקני חצר לילדים'!O14</f>
        <v>0</v>
      </c>
    </row>
    <row r="21" spans="2:4" x14ac:dyDescent="0.25">
      <c r="B21" s="57" t="str">
        <f>'תוכן עיניינים'!B14</f>
        <v>ציוד חוגים</v>
      </c>
      <c r="C21" s="231">
        <f>חוגים!O15</f>
        <v>0</v>
      </c>
    </row>
    <row r="22" spans="2:4" x14ac:dyDescent="0.25">
      <c r="B22" s="57" t="str">
        <f>'תוכן עיניינים'!B15</f>
        <v>ציוד נוסף שלא קיים בתקן</v>
      </c>
      <c r="C22" s="231">
        <f>'ציוד נוסף שלא קיים בתקן'!L28</f>
        <v>0</v>
      </c>
    </row>
    <row r="23" spans="2:4" x14ac:dyDescent="0.25">
      <c r="B23" s="57" t="s">
        <v>115</v>
      </c>
      <c r="C23" s="231">
        <f>SUM(C16:C22)</f>
        <v>0</v>
      </c>
    </row>
    <row r="25" spans="2:4" x14ac:dyDescent="0.25">
      <c r="B25" s="2" t="s">
        <v>204</v>
      </c>
    </row>
    <row r="26" spans="2:4" x14ac:dyDescent="0.25">
      <c r="B26" s="57" t="s">
        <v>85</v>
      </c>
      <c r="C26" s="57" t="s">
        <v>86</v>
      </c>
      <c r="D26" s="232" t="s">
        <v>87</v>
      </c>
    </row>
    <row r="27" spans="2:4" ht="30" x14ac:dyDescent="0.25">
      <c r="B27" s="4" t="s">
        <v>88</v>
      </c>
      <c r="C27" s="233">
        <f>IF(E7="כן",90%,IF(E6&lt;=4,90%,IF(E6&lt;8,80%,70%)))</f>
        <v>0.9</v>
      </c>
      <c r="D27" s="232">
        <f>$C$23*C27</f>
        <v>0</v>
      </c>
    </row>
    <row r="28" spans="2:4" x14ac:dyDescent="0.25">
      <c r="B28" s="57" t="s">
        <v>89</v>
      </c>
      <c r="C28" s="234">
        <f>100%-C27</f>
        <v>9.9999999999999978E-2</v>
      </c>
      <c r="D28" s="232">
        <f>$C$23*C28</f>
        <v>0</v>
      </c>
    </row>
    <row r="29" spans="2:4" x14ac:dyDescent="0.25">
      <c r="B29" s="57" t="s">
        <v>4</v>
      </c>
      <c r="C29" s="234">
        <f>SUM(C27:C28)</f>
        <v>1</v>
      </c>
      <c r="D29" s="232">
        <f>SUM(D27:D28)</f>
        <v>0</v>
      </c>
    </row>
    <row r="31" spans="2:4" x14ac:dyDescent="0.25">
      <c r="B31" s="2" t="s">
        <v>205</v>
      </c>
    </row>
    <row r="32" spans="2:4" x14ac:dyDescent="0.25">
      <c r="B32" s="57" t="s">
        <v>85</v>
      </c>
      <c r="C32" s="57" t="s">
        <v>86</v>
      </c>
      <c r="D32" s="232" t="s">
        <v>87</v>
      </c>
    </row>
    <row r="33" spans="2:5" ht="30" x14ac:dyDescent="0.25">
      <c r="B33" s="4" t="s">
        <v>224</v>
      </c>
      <c r="C33" s="234" t="str">
        <f>IF($D$33=0,"",IF($D$27&lt;$D$33,"",D33/C$23))</f>
        <v/>
      </c>
      <c r="D33" s="232">
        <f>E8</f>
        <v>0</v>
      </c>
    </row>
    <row r="34" spans="2:5" x14ac:dyDescent="0.25">
      <c r="B34" s="57" t="s">
        <v>89</v>
      </c>
      <c r="C34" s="234" t="str">
        <f>IF($D$33=0,"",IF($D$27&lt;$D$33,"",D34/C$23))</f>
        <v/>
      </c>
      <c r="D34" s="232">
        <f>IF($D$27&lt;$D$33,"",(D35-D33))</f>
        <v>0</v>
      </c>
    </row>
    <row r="35" spans="2:5" x14ac:dyDescent="0.25">
      <c r="B35" s="57" t="s">
        <v>4</v>
      </c>
      <c r="C35" s="234">
        <f>IF($D$27&lt;$D$33,"",SUM(C33:C34))</f>
        <v>0</v>
      </c>
      <c r="D35" s="232">
        <f>IF($D$27&lt;$D$33,"",C23)</f>
        <v>0</v>
      </c>
    </row>
    <row r="36" spans="2:5" x14ac:dyDescent="0.25">
      <c r="B36" s="235"/>
      <c r="C36" s="236"/>
      <c r="D36" s="237"/>
    </row>
    <row r="37" spans="2:5" ht="18.75" x14ac:dyDescent="0.3">
      <c r="B37" s="238" t="s">
        <v>203</v>
      </c>
    </row>
    <row r="38" spans="2:5" ht="18.75" x14ac:dyDescent="0.3">
      <c r="B38" s="238" t="s">
        <v>207</v>
      </c>
      <c r="C38" s="239"/>
      <c r="D38" s="239"/>
    </row>
    <row r="39" spans="2:5" x14ac:dyDescent="0.25">
      <c r="B39" s="59" t="s">
        <v>85</v>
      </c>
      <c r="C39" s="59" t="s">
        <v>86</v>
      </c>
      <c r="D39" s="240" t="s">
        <v>87</v>
      </c>
    </row>
    <row r="40" spans="2:5" x14ac:dyDescent="0.25">
      <c r="B40" s="60" t="s">
        <v>228</v>
      </c>
      <c r="C40" s="241" t="str">
        <f>IF(D40=0,"",D40/C$23)</f>
        <v/>
      </c>
      <c r="D40" s="240">
        <f>MIN(D27,D33)</f>
        <v>0</v>
      </c>
      <c r="E40" s="242"/>
    </row>
    <row r="41" spans="2:5" x14ac:dyDescent="0.25">
      <c r="B41" s="59" t="s">
        <v>89</v>
      </c>
      <c r="C41" s="241" t="str">
        <f>IF(D41=0,"",D41/C$23)</f>
        <v/>
      </c>
      <c r="D41" s="240">
        <f>D42-D40</f>
        <v>0</v>
      </c>
    </row>
    <row r="42" spans="2:5" x14ac:dyDescent="0.25">
      <c r="B42" s="59" t="s">
        <v>4</v>
      </c>
      <c r="C42" s="241" t="str">
        <f>IF(D42=0,"",SUM(C40:C41))</f>
        <v/>
      </c>
      <c r="D42" s="240">
        <f>C23</f>
        <v>0</v>
      </c>
    </row>
  </sheetData>
  <sheetProtection algorithmName="SHA-512" hashValue="eKOr8MgGg2AAjCy0McQqVwLF5AV+YThaCbWVUuE5qXE5rjU6qOyeACifcWTKVBNyGptY4y+xgcPDYGNayKw5EQ==" saltValue="QI3sBAn7MyWF6ez1srpG8g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E19"/>
  <sheetViews>
    <sheetView rightToLeft="1" zoomScaleNormal="100" workbookViewId="0"/>
  </sheetViews>
  <sheetFormatPr defaultColWidth="9.125" defaultRowHeight="15" x14ac:dyDescent="0.25"/>
  <cols>
    <col min="1" max="1" width="4.25" style="1" customWidth="1"/>
    <col min="2" max="4" width="9.125" style="1"/>
    <col min="5" max="5" width="31" style="1" customWidth="1"/>
    <col min="6" max="16384" width="9.125" style="1"/>
  </cols>
  <sheetData>
    <row r="1" spans="1:5" x14ac:dyDescent="0.25">
      <c r="A1" s="151"/>
      <c r="B1" s="151"/>
      <c r="C1" s="151"/>
      <c r="D1" s="151"/>
      <c r="E1" s="151"/>
    </row>
    <row r="2" spans="1:5" x14ac:dyDescent="0.25">
      <c r="A2" s="151"/>
      <c r="B2" s="151"/>
      <c r="C2" s="151"/>
      <c r="D2" s="151"/>
      <c r="E2" s="151"/>
    </row>
    <row r="3" spans="1:5" x14ac:dyDescent="0.25">
      <c r="A3" s="151"/>
      <c r="B3" s="151"/>
      <c r="C3" s="151"/>
      <c r="D3" s="151"/>
      <c r="E3" s="151"/>
    </row>
    <row r="4" spans="1:5" x14ac:dyDescent="0.25">
      <c r="A4" s="151"/>
      <c r="B4" s="151"/>
      <c r="C4" s="151"/>
      <c r="D4" s="151"/>
      <c r="E4" s="151"/>
    </row>
    <row r="5" spans="1:5" x14ac:dyDescent="0.25">
      <c r="A5" s="151"/>
      <c r="B5" s="151"/>
      <c r="C5" s="151"/>
      <c r="D5" s="151"/>
      <c r="E5" s="151"/>
    </row>
    <row r="6" spans="1:5" ht="26.25" x14ac:dyDescent="0.4">
      <c r="A6" s="152"/>
      <c r="B6" s="152"/>
      <c r="C6" s="152"/>
      <c r="D6" s="152"/>
      <c r="E6" s="152"/>
    </row>
    <row r="7" spans="1:5" x14ac:dyDescent="0.25">
      <c r="A7" s="151"/>
      <c r="B7" s="125" t="s">
        <v>69</v>
      </c>
      <c r="C7" s="151"/>
      <c r="D7" s="151"/>
      <c r="E7" s="151"/>
    </row>
    <row r="8" spans="1:5" x14ac:dyDescent="0.25">
      <c r="A8" s="151"/>
      <c r="B8" s="125" t="s">
        <v>71</v>
      </c>
      <c r="C8" s="151"/>
      <c r="D8" s="151"/>
      <c r="E8" s="151"/>
    </row>
    <row r="9" spans="1:5" x14ac:dyDescent="0.25">
      <c r="A9" s="151"/>
      <c r="B9" s="125" t="s">
        <v>70</v>
      </c>
      <c r="C9" s="151"/>
      <c r="D9" s="151"/>
      <c r="E9" s="151"/>
    </row>
    <row r="10" spans="1:5" x14ac:dyDescent="0.25">
      <c r="A10" s="151"/>
      <c r="B10" s="125" t="s">
        <v>112</v>
      </c>
      <c r="C10" s="151"/>
      <c r="D10" s="151"/>
      <c r="E10" s="151"/>
    </row>
    <row r="11" spans="1:5" x14ac:dyDescent="0.25">
      <c r="A11" s="151"/>
      <c r="B11" s="125" t="s">
        <v>131</v>
      </c>
      <c r="C11" s="151"/>
      <c r="D11" s="151"/>
      <c r="E11" s="151"/>
    </row>
    <row r="12" spans="1:5" x14ac:dyDescent="0.25">
      <c r="A12" s="151"/>
      <c r="B12" s="125" t="s">
        <v>124</v>
      </c>
      <c r="C12" s="151"/>
      <c r="D12" s="151"/>
      <c r="E12" s="151"/>
    </row>
    <row r="13" spans="1:5" x14ac:dyDescent="0.25">
      <c r="A13" s="151"/>
      <c r="B13" s="125" t="s">
        <v>73</v>
      </c>
      <c r="C13" s="151"/>
      <c r="D13" s="151"/>
      <c r="E13" s="151"/>
    </row>
    <row r="14" spans="1:5" x14ac:dyDescent="0.25">
      <c r="A14" s="151"/>
      <c r="B14" s="125" t="s">
        <v>40</v>
      </c>
      <c r="C14" s="151"/>
      <c r="D14" s="151"/>
      <c r="E14" s="151"/>
    </row>
    <row r="15" spans="1:5" x14ac:dyDescent="0.25">
      <c r="A15" s="151"/>
      <c r="B15" s="125" t="s">
        <v>111</v>
      </c>
      <c r="C15" s="151"/>
      <c r="D15" s="151"/>
      <c r="E15" s="151"/>
    </row>
    <row r="16" spans="1:5" x14ac:dyDescent="0.25">
      <c r="A16" s="151"/>
      <c r="B16" s="125" t="s">
        <v>233</v>
      </c>
      <c r="C16" s="151"/>
      <c r="D16" s="151"/>
      <c r="E16" s="151"/>
    </row>
    <row r="17" spans="1:5" ht="15.75" x14ac:dyDescent="0.25">
      <c r="A17" s="153"/>
      <c r="B17" s="125" t="s">
        <v>234</v>
      </c>
      <c r="C17" s="153"/>
      <c r="D17" s="153"/>
      <c r="E17" s="151"/>
    </row>
    <row r="18" spans="1:5" x14ac:dyDescent="0.25">
      <c r="A18" s="151"/>
      <c r="C18" s="151"/>
      <c r="D18" s="151"/>
      <c r="E18" s="151"/>
    </row>
    <row r="19" spans="1:5" ht="18.75" x14ac:dyDescent="0.3">
      <c r="A19" s="154"/>
      <c r="B19" s="155"/>
      <c r="C19" s="151"/>
      <c r="D19" s="151"/>
      <c r="E19" s="151"/>
    </row>
  </sheetData>
  <sheetProtection algorithmName="SHA-512" hashValue="gfAfPw6AkD8xSDnB5nyRqIq1/qcSCyN6JvnTaI0zMM5sa0BEMKfZMRaBCU1rBxywbHN9yhby3qirvEsdBSdIGw==" saltValue="XYjeO1+Sn01FZRop9SFir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45"/>
  <sheetViews>
    <sheetView showGridLines="0" rightToLeft="1" zoomScaleNormal="100" workbookViewId="0"/>
  </sheetViews>
  <sheetFormatPr defaultColWidth="9.125" defaultRowHeight="15" x14ac:dyDescent="0.25"/>
  <cols>
    <col min="1" max="1" width="3.25" style="156" customWidth="1"/>
    <col min="2" max="2" width="5" style="156" customWidth="1"/>
    <col min="3" max="6" width="9.125" style="156"/>
    <col min="7" max="7" width="20" style="157" customWidth="1"/>
    <col min="8" max="8" width="7.875" style="156" customWidth="1"/>
    <col min="9" max="9" width="5.625" style="156" customWidth="1"/>
    <col min="10" max="16384" width="9.125" style="156"/>
  </cols>
  <sheetData>
    <row r="1" spans="2:10" ht="15.75" thickBot="1" x14ac:dyDescent="0.3"/>
    <row r="2" spans="2:10" x14ac:dyDescent="0.25">
      <c r="B2" s="158"/>
      <c r="C2" s="159"/>
      <c r="D2" s="159"/>
      <c r="E2" s="159"/>
      <c r="F2" s="159"/>
      <c r="G2" s="160"/>
      <c r="H2" s="159"/>
      <c r="I2" s="161"/>
    </row>
    <row r="3" spans="2:10" ht="18.75" x14ac:dyDescent="0.3">
      <c r="B3" s="244" t="s">
        <v>68</v>
      </c>
      <c r="C3" s="245"/>
      <c r="D3" s="245"/>
      <c r="E3" s="245"/>
      <c r="F3" s="245"/>
      <c r="G3" s="245"/>
      <c r="H3" s="245"/>
      <c r="I3" s="246"/>
    </row>
    <row r="4" spans="2:10" ht="18.75" x14ac:dyDescent="0.3">
      <c r="B4" s="162" t="s">
        <v>161</v>
      </c>
      <c r="C4" s="163"/>
      <c r="D4" s="163"/>
      <c r="E4" s="163"/>
      <c r="F4" s="163"/>
      <c r="G4" s="164"/>
      <c r="H4" s="163"/>
      <c r="I4" s="165"/>
    </row>
    <row r="5" spans="2:10" ht="15.75" thickBot="1" x14ac:dyDescent="0.3">
      <c r="B5" s="166"/>
      <c r="C5" s="167" t="s">
        <v>22</v>
      </c>
      <c r="D5" s="167"/>
      <c r="E5" s="167"/>
      <c r="F5" s="167"/>
      <c r="G5" s="168"/>
      <c r="H5" s="169"/>
      <c r="I5" s="170"/>
      <c r="J5" s="169"/>
    </row>
    <row r="6" spans="2:10" x14ac:dyDescent="0.25">
      <c r="B6" s="166"/>
      <c r="C6" s="171"/>
      <c r="D6" s="171"/>
      <c r="E6" s="171"/>
      <c r="F6" s="171"/>
      <c r="G6" s="172"/>
      <c r="H6" s="169"/>
      <c r="I6" s="170"/>
      <c r="J6" s="169"/>
    </row>
    <row r="7" spans="2:10" ht="15.75" thickBot="1" x14ac:dyDescent="0.3">
      <c r="B7" s="166"/>
      <c r="C7" s="167" t="s">
        <v>152</v>
      </c>
      <c r="D7" s="167"/>
      <c r="E7" s="167"/>
      <c r="F7" s="167"/>
      <c r="G7" s="173"/>
      <c r="H7" s="169"/>
      <c r="I7" s="170"/>
      <c r="J7" s="169"/>
    </row>
    <row r="8" spans="2:10" x14ac:dyDescent="0.25">
      <c r="B8" s="166"/>
      <c r="C8" s="167"/>
      <c r="D8" s="167"/>
      <c r="E8" s="167"/>
      <c r="F8" s="167"/>
      <c r="G8" s="172"/>
      <c r="H8" s="169"/>
      <c r="I8" s="170"/>
      <c r="J8" s="169"/>
    </row>
    <row r="9" spans="2:10" ht="15.75" thickBot="1" x14ac:dyDescent="0.3">
      <c r="B9" s="166"/>
      <c r="C9" s="167" t="s">
        <v>18</v>
      </c>
      <c r="D9" s="167"/>
      <c r="E9" s="167"/>
      <c r="F9" s="167"/>
      <c r="G9" s="173"/>
      <c r="H9" s="169"/>
      <c r="I9" s="170"/>
      <c r="J9" s="169"/>
    </row>
    <row r="10" spans="2:10" x14ac:dyDescent="0.25">
      <c r="B10" s="166"/>
      <c r="C10" s="167"/>
      <c r="D10" s="167"/>
      <c r="E10" s="167"/>
      <c r="F10" s="167"/>
      <c r="G10" s="172"/>
      <c r="H10" s="169"/>
      <c r="I10" s="170"/>
      <c r="J10" s="169"/>
    </row>
    <row r="11" spans="2:10" ht="15.75" thickBot="1" x14ac:dyDescent="0.3">
      <c r="B11" s="166"/>
      <c r="C11" s="167" t="s">
        <v>153</v>
      </c>
      <c r="D11" s="167"/>
      <c r="E11" s="167"/>
      <c r="F11" s="167"/>
      <c r="G11" s="173"/>
      <c r="H11" s="169"/>
      <c r="I11" s="170"/>
      <c r="J11" s="169"/>
    </row>
    <row r="12" spans="2:10" x14ac:dyDescent="0.25">
      <c r="B12" s="166"/>
      <c r="C12" s="167"/>
      <c r="D12" s="167"/>
      <c r="E12" s="167"/>
      <c r="F12" s="167"/>
      <c r="G12" s="172"/>
      <c r="H12" s="169"/>
      <c r="I12" s="170"/>
      <c r="J12" s="169"/>
    </row>
    <row r="13" spans="2:10" ht="15.75" thickBot="1" x14ac:dyDescent="0.3">
      <c r="B13" s="166"/>
      <c r="C13" s="167" t="s">
        <v>154</v>
      </c>
      <c r="D13" s="167"/>
      <c r="E13" s="167"/>
      <c r="F13" s="167"/>
      <c r="G13" s="173"/>
      <c r="H13" s="169"/>
      <c r="I13" s="170"/>
      <c r="J13" s="169"/>
    </row>
    <row r="14" spans="2:10" x14ac:dyDescent="0.25">
      <c r="B14" s="166"/>
      <c r="C14" s="167"/>
      <c r="D14" s="167"/>
      <c r="E14" s="167"/>
      <c r="F14" s="167"/>
      <c r="G14" s="172"/>
      <c r="H14" s="169"/>
      <c r="I14" s="170"/>
      <c r="J14" s="169"/>
    </row>
    <row r="15" spans="2:10" ht="15.75" thickBot="1" x14ac:dyDescent="0.3">
      <c r="B15" s="166"/>
      <c r="C15" s="167" t="s">
        <v>155</v>
      </c>
      <c r="D15" s="167"/>
      <c r="E15" s="167"/>
      <c r="F15" s="167"/>
      <c r="G15" s="174"/>
      <c r="H15" s="169"/>
      <c r="I15" s="170"/>
      <c r="J15" s="169"/>
    </row>
    <row r="16" spans="2:10" ht="15.75" thickBot="1" x14ac:dyDescent="0.3">
      <c r="B16" s="166"/>
      <c r="C16" s="171"/>
      <c r="D16" s="171"/>
      <c r="E16" s="171"/>
      <c r="F16" s="171"/>
      <c r="G16" s="172"/>
      <c r="H16" s="169"/>
      <c r="I16" s="170"/>
      <c r="J16" s="169"/>
    </row>
    <row r="17" spans="2:10" ht="15.75" x14ac:dyDescent="0.25">
      <c r="B17" s="175" t="s">
        <v>160</v>
      </c>
      <c r="C17" s="176"/>
      <c r="D17" s="176"/>
      <c r="E17" s="176"/>
      <c r="F17" s="176"/>
      <c r="G17" s="177"/>
      <c r="H17" s="159"/>
      <c r="I17" s="161"/>
      <c r="J17" s="169"/>
    </row>
    <row r="18" spans="2:10" ht="15.75" thickBot="1" x14ac:dyDescent="0.3">
      <c r="B18" s="166"/>
      <c r="C18" s="167" t="s">
        <v>19</v>
      </c>
      <c r="D18" s="167"/>
      <c r="E18" s="167"/>
      <c r="F18" s="167"/>
      <c r="G18" s="173"/>
      <c r="H18" s="169"/>
      <c r="I18" s="170"/>
      <c r="J18" s="169"/>
    </row>
    <row r="19" spans="2:10" x14ac:dyDescent="0.25">
      <c r="B19" s="166"/>
      <c r="C19" s="171"/>
      <c r="D19" s="171"/>
      <c r="E19" s="171"/>
      <c r="F19" s="171"/>
      <c r="G19" s="172"/>
      <c r="H19" s="169"/>
      <c r="I19" s="170"/>
      <c r="J19" s="169"/>
    </row>
    <row r="20" spans="2:10" ht="15.75" thickBot="1" x14ac:dyDescent="0.3">
      <c r="B20" s="166"/>
      <c r="C20" s="167" t="s">
        <v>20</v>
      </c>
      <c r="D20" s="167"/>
      <c r="E20" s="167"/>
      <c r="F20" s="167"/>
      <c r="G20" s="173"/>
      <c r="H20" s="169"/>
      <c r="I20" s="170"/>
      <c r="J20" s="169"/>
    </row>
    <row r="21" spans="2:10" x14ac:dyDescent="0.25">
      <c r="B21" s="166"/>
      <c r="C21" s="171"/>
      <c r="D21" s="171"/>
      <c r="E21" s="171"/>
      <c r="F21" s="171"/>
      <c r="G21" s="172"/>
      <c r="H21" s="169"/>
      <c r="I21" s="170"/>
      <c r="J21" s="169"/>
    </row>
    <row r="22" spans="2:10" ht="15.75" thickBot="1" x14ac:dyDescent="0.3">
      <c r="B22" s="166"/>
      <c r="C22" s="167" t="s">
        <v>156</v>
      </c>
      <c r="D22" s="167"/>
      <c r="E22" s="167"/>
      <c r="F22" s="167"/>
      <c r="G22" s="173"/>
      <c r="H22" s="169"/>
      <c r="I22" s="170"/>
      <c r="J22" s="169"/>
    </row>
    <row r="23" spans="2:10" x14ac:dyDescent="0.25">
      <c r="B23" s="166"/>
      <c r="C23" s="167"/>
      <c r="D23" s="167"/>
      <c r="E23" s="167"/>
      <c r="F23" s="167"/>
      <c r="G23" s="172"/>
      <c r="H23" s="169"/>
      <c r="I23" s="170"/>
      <c r="J23" s="169"/>
    </row>
    <row r="24" spans="2:10" ht="15.75" thickBot="1" x14ac:dyDescent="0.3">
      <c r="B24" s="166"/>
      <c r="C24" s="171" t="s">
        <v>157</v>
      </c>
      <c r="D24" s="171"/>
      <c r="E24" s="171"/>
      <c r="F24" s="171"/>
      <c r="G24" s="173"/>
      <c r="H24" s="169"/>
      <c r="I24" s="170"/>
      <c r="J24" s="169"/>
    </row>
    <row r="25" spans="2:10" x14ac:dyDescent="0.25">
      <c r="B25" s="166"/>
      <c r="C25" s="171"/>
      <c r="D25" s="171"/>
      <c r="E25" s="171"/>
      <c r="F25" s="171"/>
      <c r="G25" s="172"/>
      <c r="H25" s="169"/>
      <c r="I25" s="170"/>
      <c r="J25" s="169"/>
    </row>
    <row r="26" spans="2:10" ht="15.75" thickBot="1" x14ac:dyDescent="0.3">
      <c r="B26" s="166"/>
      <c r="C26" s="167" t="s">
        <v>158</v>
      </c>
      <c r="D26" s="167"/>
      <c r="E26" s="167"/>
      <c r="F26" s="167"/>
      <c r="G26" s="174"/>
      <c r="H26" s="169"/>
      <c r="I26" s="170"/>
      <c r="J26" s="169"/>
    </row>
    <row r="27" spans="2:10" ht="15.75" thickBot="1" x14ac:dyDescent="0.3">
      <c r="B27" s="166"/>
      <c r="C27" s="167"/>
      <c r="D27" s="167"/>
      <c r="E27" s="167"/>
      <c r="F27" s="167"/>
      <c r="G27" s="172"/>
      <c r="H27" s="167"/>
      <c r="I27" s="170"/>
      <c r="J27" s="169"/>
    </row>
    <row r="28" spans="2:10" ht="15.75" x14ac:dyDescent="0.25">
      <c r="B28" s="175" t="s">
        <v>159</v>
      </c>
      <c r="C28" s="176"/>
      <c r="D28" s="176"/>
      <c r="E28" s="176"/>
      <c r="F28" s="176"/>
      <c r="G28" s="177"/>
      <c r="H28" s="159"/>
      <c r="I28" s="161"/>
      <c r="J28" s="169"/>
    </row>
    <row r="29" spans="2:10" ht="15.75" thickBot="1" x14ac:dyDescent="0.3">
      <c r="B29" s="166"/>
      <c r="C29" s="167" t="s">
        <v>21</v>
      </c>
      <c r="D29" s="167"/>
      <c r="E29" s="167"/>
      <c r="F29" s="167"/>
      <c r="G29" s="173"/>
      <c r="H29" s="169"/>
      <c r="I29" s="170"/>
    </row>
    <row r="30" spans="2:10" x14ac:dyDescent="0.25">
      <c r="B30" s="166"/>
      <c r="C30" s="167"/>
      <c r="D30" s="167"/>
      <c r="E30" s="167"/>
      <c r="F30" s="167"/>
      <c r="G30" s="172"/>
      <c r="H30" s="167"/>
      <c r="I30" s="170"/>
    </row>
    <row r="31" spans="2:10" ht="15.75" thickBot="1" x14ac:dyDescent="0.3">
      <c r="B31" s="166"/>
      <c r="C31" s="167" t="s">
        <v>192</v>
      </c>
      <c r="D31" s="167"/>
      <c r="E31" s="167"/>
      <c r="F31" s="167"/>
      <c r="G31" s="173"/>
      <c r="H31" s="169"/>
      <c r="I31" s="170"/>
    </row>
    <row r="32" spans="2:10" x14ac:dyDescent="0.25">
      <c r="B32" s="166"/>
      <c r="C32" s="178"/>
      <c r="D32" s="178"/>
      <c r="E32" s="178"/>
      <c r="F32" s="178"/>
      <c r="G32" s="179"/>
      <c r="I32" s="170"/>
    </row>
    <row r="33" spans="2:9" ht="15.75" thickBot="1" x14ac:dyDescent="0.3">
      <c r="B33" s="166"/>
      <c r="C33" s="180" t="s">
        <v>191</v>
      </c>
      <c r="D33" s="171"/>
      <c r="E33" s="171"/>
      <c r="F33" s="171"/>
      <c r="G33" s="173"/>
      <c r="H33" s="181" t="s">
        <v>118</v>
      </c>
      <c r="I33" s="170"/>
    </row>
    <row r="34" spans="2:9" x14ac:dyDescent="0.25">
      <c r="B34" s="166"/>
      <c r="C34" s="180"/>
      <c r="D34" s="171"/>
      <c r="E34" s="171"/>
      <c r="F34" s="171"/>
      <c r="G34" s="182"/>
      <c r="H34" s="181"/>
      <c r="I34" s="170"/>
    </row>
    <row r="35" spans="2:9" ht="15.75" thickBot="1" x14ac:dyDescent="0.3">
      <c r="B35" s="166"/>
      <c r="C35" s="180" t="s">
        <v>114</v>
      </c>
      <c r="D35" s="180"/>
      <c r="E35" s="171"/>
      <c r="F35" s="171"/>
      <c r="G35" s="173"/>
      <c r="H35" s="181"/>
      <c r="I35" s="170"/>
    </row>
    <row r="36" spans="2:9" ht="15.75" thickBot="1" x14ac:dyDescent="0.3">
      <c r="B36" s="166"/>
      <c r="C36" s="180"/>
      <c r="D36" s="171"/>
      <c r="E36" s="171"/>
      <c r="F36" s="171"/>
      <c r="G36" s="172"/>
      <c r="H36" s="169"/>
      <c r="I36" s="170"/>
    </row>
    <row r="37" spans="2:9" ht="15.75" x14ac:dyDescent="0.25">
      <c r="B37" s="175" t="s">
        <v>55</v>
      </c>
      <c r="C37" s="183"/>
      <c r="D37" s="159"/>
      <c r="E37" s="159"/>
      <c r="F37" s="159"/>
      <c r="G37" s="160"/>
      <c r="H37" s="159"/>
      <c r="I37" s="161"/>
    </row>
    <row r="38" spans="2:9" x14ac:dyDescent="0.25">
      <c r="B38" s="166"/>
      <c r="C38" s="169" t="s">
        <v>67</v>
      </c>
      <c r="D38" s="169"/>
      <c r="E38" s="169"/>
      <c r="F38" s="169"/>
      <c r="G38" s="167"/>
      <c r="H38" s="169"/>
      <c r="I38" s="170"/>
    </row>
    <row r="39" spans="2:9" x14ac:dyDescent="0.25">
      <c r="B39" s="184"/>
      <c r="C39" s="185" t="s">
        <v>230</v>
      </c>
      <c r="D39" s="185"/>
      <c r="E39" s="185"/>
      <c r="F39" s="185"/>
      <c r="G39" s="181"/>
      <c r="H39" s="185"/>
      <c r="I39" s="170"/>
    </row>
    <row r="40" spans="2:9" x14ac:dyDescent="0.25">
      <c r="B40" s="166"/>
      <c r="C40" s="169" t="s">
        <v>65</v>
      </c>
      <c r="D40" s="169"/>
      <c r="E40" s="169"/>
      <c r="F40" s="169"/>
      <c r="G40" s="167"/>
      <c r="H40" s="169"/>
      <c r="I40" s="170"/>
    </row>
    <row r="41" spans="2:9" x14ac:dyDescent="0.25">
      <c r="B41" s="166"/>
      <c r="C41" s="169" t="s">
        <v>56</v>
      </c>
      <c r="D41" s="169"/>
      <c r="E41" s="169"/>
      <c r="F41" s="169"/>
      <c r="G41" s="167"/>
      <c r="H41" s="169"/>
      <c r="I41" s="170"/>
    </row>
    <row r="42" spans="2:9" x14ac:dyDescent="0.25">
      <c r="B42" s="166"/>
      <c r="C42" s="169" t="s">
        <v>57</v>
      </c>
      <c r="D42" s="169"/>
      <c r="E42" s="169"/>
      <c r="F42" s="169"/>
      <c r="G42" s="167"/>
      <c r="H42" s="169"/>
      <c r="I42" s="170"/>
    </row>
    <row r="43" spans="2:9" x14ac:dyDescent="0.25">
      <c r="B43" s="166"/>
      <c r="C43" s="186" t="s">
        <v>58</v>
      </c>
      <c r="D43" s="186"/>
      <c r="E43" s="186"/>
      <c r="F43" s="186"/>
      <c r="G43" s="187"/>
      <c r="H43" s="186"/>
      <c r="I43" s="170"/>
    </row>
    <row r="44" spans="2:9" x14ac:dyDescent="0.25">
      <c r="B44" s="166"/>
      <c r="C44" s="186" t="s">
        <v>135</v>
      </c>
      <c r="D44" s="188"/>
      <c r="E44" s="188"/>
      <c r="F44" s="188"/>
      <c r="G44" s="189"/>
      <c r="H44" s="169"/>
      <c r="I44" s="170"/>
    </row>
    <row r="45" spans="2:9" ht="15.75" thickBot="1" x14ac:dyDescent="0.3">
      <c r="B45" s="190"/>
      <c r="C45" s="191"/>
      <c r="D45" s="191"/>
      <c r="E45" s="191"/>
      <c r="F45" s="191"/>
      <c r="G45" s="192"/>
      <c r="H45" s="191"/>
      <c r="I45" s="193"/>
    </row>
  </sheetData>
  <sheetProtection algorithmName="SHA-512" hashValue="gSPqkgDpcUDu5yvM1IWrrFl+Z1ax19rKG0i/xterbAISFwKfBZUQDYpO7cRyz+Kx6NwEXA/BtGwz0twQHlhTVQ==" saltValue="330p1evHNPGpbwY7+UEkdQ==" spinCount="100000" sheet="1" objects="1" scenarios="1"/>
  <mergeCells count="1">
    <mergeCell ref="B3:I3"/>
  </mergeCells>
  <dataValidations count="4">
    <dataValidation type="list" allowBlank="1" showInputMessage="1" showErrorMessage="1" sqref="G29">
      <formula1>"1,2,3,4,5,6,7,8,9,10"</formula1>
    </dataValidation>
    <dataValidation type="whole" allowBlank="1" showInputMessage="1" showErrorMessage="1" error="נא לכתוב מספר בין 10 ל80" sqref="G34">
      <formula1>10</formula1>
      <formula2>80</formula2>
    </dataValidation>
    <dataValidation type="whole" allowBlank="1" showInputMessage="1" showErrorMessage="1" error="נא לכתוב מספר בין 10 ל100 " sqref="G33">
      <formula1>10</formula1>
      <formula2>100</formula2>
    </dataValidation>
    <dataValidation type="list" allowBlank="1" showInputMessage="1" showErrorMessage="1" sqref="G31">
      <formula1>"כן, לא"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R63"/>
  <sheetViews>
    <sheetView rightToLeft="1" zoomScaleNormal="100" workbookViewId="0">
      <pane xSplit="4" ySplit="6" topLeftCell="E7" activePane="bottomRight" state="frozen"/>
      <selection activeCell="F16" sqref="F16"/>
      <selection pane="topRight" activeCell="F16" sqref="F16"/>
      <selection pane="bottomLeft" activeCell="F16" sqref="F16"/>
      <selection pane="bottomRight" activeCell="M8" sqref="M8"/>
    </sheetView>
  </sheetViews>
  <sheetFormatPr defaultColWidth="9" defaultRowHeight="15" x14ac:dyDescent="0.25"/>
  <cols>
    <col min="1" max="1" width="2.25" style="69" customWidth="1"/>
    <col min="2" max="2" width="11.75" style="69" customWidth="1"/>
    <col min="3" max="3" width="25.875" style="69" customWidth="1"/>
    <col min="4" max="4" width="6.875" style="69" customWidth="1"/>
    <col min="5" max="5" width="7.75" style="69" customWidth="1"/>
    <col min="6" max="6" width="8.625" style="69" customWidth="1"/>
    <col min="7" max="7" width="1.75" style="69" customWidth="1"/>
    <col min="8" max="8" width="9" style="69"/>
    <col min="9" max="9" width="9.375" style="69" customWidth="1"/>
    <col min="10" max="10" width="7.75" style="69" customWidth="1"/>
    <col min="11" max="11" width="17.125" style="69" customWidth="1"/>
    <col min="12" max="12" width="2" style="69" customWidth="1"/>
    <col min="13" max="13" width="12.75" style="69" customWidth="1"/>
    <col min="14" max="14" width="9.875" style="213" customWidth="1"/>
    <col min="15" max="15" width="10" style="214" customWidth="1"/>
    <col min="16" max="16" width="10.125" style="69" bestFit="1" customWidth="1"/>
    <col min="17" max="17" width="18" style="69" customWidth="1"/>
    <col min="18" max="18" width="10.75" style="69" customWidth="1"/>
    <col min="19" max="16384" width="9" style="69"/>
  </cols>
  <sheetData>
    <row r="1" spans="2:18" x14ac:dyDescent="0.25">
      <c r="B1" s="69" t="s">
        <v>152</v>
      </c>
      <c r="C1" s="69">
        <f>'שאלון למילוי מגיש הבקשה - חובה'!G7</f>
        <v>0</v>
      </c>
      <c r="E1" s="70">
        <f>'שאלון למילוי מגיש הבקשה - חובה'!G33</f>
        <v>0</v>
      </c>
      <c r="F1" s="69" t="s">
        <v>196</v>
      </c>
      <c r="H1" s="69" t="s">
        <v>78</v>
      </c>
    </row>
    <row r="2" spans="2:18" x14ac:dyDescent="0.25">
      <c r="B2" s="69" t="s">
        <v>51</v>
      </c>
      <c r="C2" s="71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E2" s="70">
        <f>'שאלון למילוי מגיש הבקשה - חובה'!G35</f>
        <v>0</v>
      </c>
      <c r="F2" s="69" t="s">
        <v>81</v>
      </c>
      <c r="M2" s="215"/>
    </row>
    <row r="3" spans="2:18" x14ac:dyDescent="0.25">
      <c r="B3" s="69" t="s">
        <v>72</v>
      </c>
      <c r="C3" s="72"/>
      <c r="D3" s="72"/>
      <c r="E3" s="70" t="str">
        <f>IF(E1&lt;51,"קטנה","גדולה")</f>
        <v>קטנה</v>
      </c>
      <c r="F3" s="73"/>
      <c r="I3" s="69" t="s">
        <v>125</v>
      </c>
      <c r="M3" s="215"/>
    </row>
    <row r="4" spans="2:18" x14ac:dyDescent="0.25">
      <c r="B4" s="74" t="str">
        <f>'תוכן עיניינים'!B9</f>
        <v>ציוד כללי</v>
      </c>
      <c r="C4" s="74"/>
      <c r="D4" s="75"/>
      <c r="E4" s="70" t="str">
        <f>IF(E1&lt;=50,"10 - 50","51 - 100")</f>
        <v>10 - 50</v>
      </c>
      <c r="F4" s="69" t="s">
        <v>48</v>
      </c>
      <c r="I4" s="69" t="s">
        <v>126</v>
      </c>
    </row>
    <row r="5" spans="2:18" x14ac:dyDescent="0.25">
      <c r="B5" s="76"/>
      <c r="C5" s="77" t="s">
        <v>23</v>
      </c>
      <c r="D5" s="77"/>
      <c r="E5" s="77"/>
      <c r="F5" s="78"/>
      <c r="H5" s="76"/>
      <c r="I5" s="77" t="s">
        <v>34</v>
      </c>
      <c r="J5" s="77"/>
      <c r="K5" s="78"/>
      <c r="M5" s="76"/>
      <c r="N5" s="77"/>
      <c r="O5" s="118" t="s">
        <v>130</v>
      </c>
      <c r="P5" s="77"/>
      <c r="Q5" s="78"/>
    </row>
    <row r="6" spans="2:18" ht="45" x14ac:dyDescent="0.25">
      <c r="B6" s="79" t="s">
        <v>0</v>
      </c>
      <c r="C6" s="79" t="s">
        <v>24</v>
      </c>
      <c r="D6" s="79" t="s">
        <v>63</v>
      </c>
      <c r="E6" s="79" t="s">
        <v>212</v>
      </c>
      <c r="F6" s="79" t="s">
        <v>213</v>
      </c>
      <c r="H6" s="79" t="s">
        <v>1</v>
      </c>
      <c r="I6" s="79" t="s">
        <v>32</v>
      </c>
      <c r="J6" s="79" t="s">
        <v>33</v>
      </c>
      <c r="K6" s="79" t="s">
        <v>128</v>
      </c>
      <c r="M6" s="216" t="s">
        <v>218</v>
      </c>
      <c r="N6" s="79" t="s">
        <v>36</v>
      </c>
      <c r="O6" s="119" t="s">
        <v>37</v>
      </c>
      <c r="P6" s="79" t="s">
        <v>33</v>
      </c>
      <c r="Q6" s="79" t="s">
        <v>35</v>
      </c>
    </row>
    <row r="7" spans="2:18" ht="15.75" x14ac:dyDescent="0.25">
      <c r="B7" s="251" t="s">
        <v>2</v>
      </c>
      <c r="C7" s="79" t="s">
        <v>175</v>
      </c>
      <c r="D7" s="130">
        <f>$E$2</f>
        <v>0</v>
      </c>
      <c r="E7" s="80">
        <v>200</v>
      </c>
      <c r="F7" s="80">
        <f>E7*D7</f>
        <v>0</v>
      </c>
      <c r="H7" s="81"/>
      <c r="I7" s="82">
        <f>E7*H7</f>
        <v>0</v>
      </c>
      <c r="J7" s="9" t="str">
        <f>IF(I7=0,"",IF(OR(I7-F7&gt;0,I7-F7&lt;0),(I7-F7)/F7,""))</f>
        <v/>
      </c>
      <c r="K7" s="84" t="str">
        <f>IF(H7&gt;D7,"נא להסביר חריגה כאן","")</f>
        <v/>
      </c>
      <c r="M7" s="85"/>
      <c r="N7" s="86" t="str">
        <f t="shared" ref="N7" si="0">IF(ISBLANK(M7),"",IF(M7="מאשר",H7,"נא למלא כמות מאושרת"))</f>
        <v/>
      </c>
      <c r="O7" s="120" t="str">
        <f>IFERROR(IF(M7="","",N7*E7),"")</f>
        <v/>
      </c>
      <c r="P7" s="9" t="str">
        <f>IF(O7="","",IF(OR(O7-F7&gt;0,O7-F7&lt;0),(O7-F7)/F7,""))</f>
        <v/>
      </c>
      <c r="Q7" s="85"/>
    </row>
    <row r="8" spans="2:18" ht="30" customHeight="1" x14ac:dyDescent="0.25">
      <c r="B8" s="252"/>
      <c r="C8" s="79" t="s">
        <v>206</v>
      </c>
      <c r="D8" s="3">
        <f>ROUND($E$1/6,0)</f>
        <v>0</v>
      </c>
      <c r="E8" s="80">
        <v>1800</v>
      </c>
      <c r="F8" s="80">
        <f t="shared" ref="F8:F17" si="1">E8*D8</f>
        <v>0</v>
      </c>
      <c r="H8" s="81"/>
      <c r="I8" s="82">
        <f t="shared" ref="I8:I16" si="2">E8*H8</f>
        <v>0</v>
      </c>
      <c r="J8" s="9" t="str">
        <f t="shared" ref="J8:J16" si="3">IF(I8=0,"",IF(OR(I8-F8&gt;0,I8-F8&lt;0),(I8-F8)/F8,""))</f>
        <v/>
      </c>
      <c r="K8" s="84" t="str">
        <f t="shared" ref="K8:K17" si="4">IF(H8&gt;D8,"נא להסביר חריגה כאן","")</f>
        <v/>
      </c>
      <c r="M8" s="85"/>
      <c r="N8" s="86" t="str">
        <f t="shared" ref="N8:N12" si="5">IF(ISBLANK(M8),"",IF(M8="מאשר",H8,"נא למלא כמות מאושרת"))</f>
        <v/>
      </c>
      <c r="O8" s="120" t="str">
        <f t="shared" ref="O8:O27" si="6">IFERROR(IF(M8="","",N8*E8),"")</f>
        <v/>
      </c>
      <c r="P8" s="9" t="str">
        <f t="shared" ref="P8:P27" si="7">IF(O8="","",IF(OR(O8-F8&gt;0,O8-F8&lt;0),(O8-F8)/F8,""))</f>
        <v/>
      </c>
      <c r="Q8" s="85"/>
    </row>
    <row r="9" spans="2:18" ht="30" x14ac:dyDescent="0.25">
      <c r="B9" s="252"/>
      <c r="C9" s="79" t="s">
        <v>176</v>
      </c>
      <c r="D9" s="3">
        <f>ROUND($E$1*1.1,0)</f>
        <v>0</v>
      </c>
      <c r="E9" s="80">
        <v>500</v>
      </c>
      <c r="F9" s="80">
        <f t="shared" si="1"/>
        <v>0</v>
      </c>
      <c r="H9" s="81"/>
      <c r="I9" s="82">
        <f t="shared" ref="I9" si="8">E9*H9</f>
        <v>0</v>
      </c>
      <c r="J9" s="9" t="str">
        <f t="shared" ref="J9" si="9">IF(I9=0,"",IF(OR(I9-F9&gt;0,I9-F9&lt;0),(I9-F9)/F9,""))</f>
        <v/>
      </c>
      <c r="K9" s="84" t="str">
        <f t="shared" si="4"/>
        <v/>
      </c>
      <c r="M9" s="85"/>
      <c r="N9" s="86" t="str">
        <f t="shared" si="5"/>
        <v/>
      </c>
      <c r="O9" s="120" t="str">
        <f t="shared" si="6"/>
        <v/>
      </c>
      <c r="P9" s="9" t="str">
        <f t="shared" si="7"/>
        <v/>
      </c>
      <c r="Q9" s="85"/>
    </row>
    <row r="10" spans="2:18" ht="30" x14ac:dyDescent="0.25">
      <c r="B10" s="252"/>
      <c r="C10" s="79" t="s">
        <v>164</v>
      </c>
      <c r="D10" s="50">
        <f>IF($E$1&lt;=50,5,10)</f>
        <v>5</v>
      </c>
      <c r="E10" s="80">
        <v>1000</v>
      </c>
      <c r="F10" s="80">
        <f t="shared" si="1"/>
        <v>5000</v>
      </c>
      <c r="H10" s="81"/>
      <c r="I10" s="82">
        <f t="shared" si="2"/>
        <v>0</v>
      </c>
      <c r="J10" s="9" t="str">
        <f t="shared" si="3"/>
        <v/>
      </c>
      <c r="K10" s="84" t="str">
        <f t="shared" si="4"/>
        <v/>
      </c>
      <c r="M10" s="85"/>
      <c r="N10" s="86" t="str">
        <f t="shared" si="5"/>
        <v/>
      </c>
      <c r="O10" s="120" t="str">
        <f t="shared" si="6"/>
        <v/>
      </c>
      <c r="P10" s="9" t="str">
        <f t="shared" si="7"/>
        <v/>
      </c>
      <c r="Q10" s="85"/>
    </row>
    <row r="11" spans="2:18" ht="20.25" customHeight="1" x14ac:dyDescent="0.25">
      <c r="B11" s="252"/>
      <c r="C11" s="79" t="s">
        <v>165</v>
      </c>
      <c r="D11" s="50">
        <f>IF($E$1&lt;=50,5,10)</f>
        <v>5</v>
      </c>
      <c r="E11" s="80">
        <v>500</v>
      </c>
      <c r="F11" s="80">
        <f t="shared" si="1"/>
        <v>2500</v>
      </c>
      <c r="H11" s="81"/>
      <c r="I11" s="82">
        <f t="shared" si="2"/>
        <v>0</v>
      </c>
      <c r="J11" s="9"/>
      <c r="K11" s="84" t="str">
        <f t="shared" si="4"/>
        <v/>
      </c>
      <c r="M11" s="85"/>
      <c r="N11" s="86" t="str">
        <f t="shared" si="5"/>
        <v/>
      </c>
      <c r="O11" s="120" t="str">
        <f t="shared" si="6"/>
        <v/>
      </c>
      <c r="P11" s="9" t="str">
        <f t="shared" si="7"/>
        <v/>
      </c>
      <c r="Q11" s="85"/>
    </row>
    <row r="12" spans="2:18" ht="30" x14ac:dyDescent="0.25">
      <c r="B12" s="252"/>
      <c r="C12" s="79" t="s">
        <v>197</v>
      </c>
      <c r="D12" s="50">
        <f>IF($E$1&lt;=50,1,2)</f>
        <v>1</v>
      </c>
      <c r="E12" s="80">
        <v>5000</v>
      </c>
      <c r="F12" s="80">
        <f t="shared" si="1"/>
        <v>5000</v>
      </c>
      <c r="H12" s="81"/>
      <c r="I12" s="82">
        <f t="shared" si="2"/>
        <v>0</v>
      </c>
      <c r="J12" s="9" t="str">
        <f t="shared" si="3"/>
        <v/>
      </c>
      <c r="K12" s="84" t="str">
        <f t="shared" si="4"/>
        <v/>
      </c>
      <c r="M12" s="85"/>
      <c r="N12" s="86" t="str">
        <f t="shared" si="5"/>
        <v/>
      </c>
      <c r="O12" s="120" t="str">
        <f t="shared" si="6"/>
        <v/>
      </c>
      <c r="P12" s="9" t="str">
        <f t="shared" si="7"/>
        <v/>
      </c>
      <c r="Q12" s="85"/>
    </row>
    <row r="13" spans="2:18" ht="45" x14ac:dyDescent="0.25">
      <c r="B13" s="252"/>
      <c r="C13" s="88" t="s">
        <v>198</v>
      </c>
      <c r="D13" s="130">
        <f>ROUND(1.3*$E$2,0)</f>
        <v>0</v>
      </c>
      <c r="E13" s="55">
        <f>12*230</f>
        <v>2760</v>
      </c>
      <c r="F13" s="80">
        <f t="shared" si="1"/>
        <v>0</v>
      </c>
      <c r="H13" s="81"/>
      <c r="I13" s="82">
        <f t="shared" si="2"/>
        <v>0</v>
      </c>
      <c r="J13" s="9" t="str">
        <f t="shared" si="3"/>
        <v/>
      </c>
      <c r="K13" s="84" t="str">
        <f t="shared" si="4"/>
        <v/>
      </c>
      <c r="M13" s="85"/>
      <c r="N13" s="86" t="str">
        <f t="shared" ref="N13:N17" si="10">IF(ISBLANK(M13),"",IF(M13="מאשר",H13,"נא למלא כמות מאושרת"))</f>
        <v/>
      </c>
      <c r="O13" s="120" t="str">
        <f t="shared" si="6"/>
        <v/>
      </c>
      <c r="P13" s="9" t="str">
        <f t="shared" si="7"/>
        <v/>
      </c>
      <c r="Q13" s="85"/>
    </row>
    <row r="14" spans="2:18" s="210" customFormat="1" ht="15.75" x14ac:dyDescent="0.25">
      <c r="B14" s="252"/>
      <c r="C14" s="88" t="s">
        <v>133</v>
      </c>
      <c r="D14" s="89">
        <v>1</v>
      </c>
      <c r="E14" s="80">
        <v>2000</v>
      </c>
      <c r="F14" s="80">
        <f>E14*D14</f>
        <v>2000</v>
      </c>
      <c r="G14" s="72"/>
      <c r="H14" s="81"/>
      <c r="I14" s="90">
        <f>E14*H14</f>
        <v>0</v>
      </c>
      <c r="J14" s="9" t="str">
        <f t="shared" si="3"/>
        <v/>
      </c>
      <c r="K14" s="84" t="str">
        <f t="shared" si="4"/>
        <v/>
      </c>
      <c r="L14" s="69"/>
      <c r="M14" s="85"/>
      <c r="N14" s="86" t="str">
        <f t="shared" si="10"/>
        <v/>
      </c>
      <c r="O14" s="120" t="str">
        <f t="shared" si="6"/>
        <v/>
      </c>
      <c r="P14" s="9" t="str">
        <f t="shared" si="7"/>
        <v/>
      </c>
      <c r="Q14" s="85"/>
      <c r="R14" s="69"/>
    </row>
    <row r="15" spans="2:18" s="210" customFormat="1" ht="30" x14ac:dyDescent="0.25">
      <c r="B15" s="252"/>
      <c r="C15" s="88" t="s">
        <v>166</v>
      </c>
      <c r="D15" s="89">
        <v>1</v>
      </c>
      <c r="E15" s="55">
        <f>IF($E$1&lt;=50,15000,25000)</f>
        <v>15000</v>
      </c>
      <c r="F15" s="80">
        <f>E15*D15</f>
        <v>15000</v>
      </c>
      <c r="G15" s="72"/>
      <c r="H15" s="81"/>
      <c r="I15" s="90">
        <f>E15*H15</f>
        <v>0</v>
      </c>
      <c r="J15" s="9" t="str">
        <f t="shared" si="3"/>
        <v/>
      </c>
      <c r="K15" s="84" t="str">
        <f t="shared" si="4"/>
        <v/>
      </c>
      <c r="L15" s="69"/>
      <c r="M15" s="85"/>
      <c r="N15" s="86" t="str">
        <f t="shared" si="10"/>
        <v/>
      </c>
      <c r="O15" s="120" t="str">
        <f t="shared" si="6"/>
        <v/>
      </c>
      <c r="P15" s="9" t="str">
        <f t="shared" si="7"/>
        <v/>
      </c>
      <c r="Q15" s="85"/>
    </row>
    <row r="16" spans="2:18" ht="15.75" x14ac:dyDescent="0.25">
      <c r="B16" s="252"/>
      <c r="C16" s="79" t="s">
        <v>220</v>
      </c>
      <c r="D16" s="130">
        <f>$E$2</f>
        <v>0</v>
      </c>
      <c r="E16" s="80">
        <v>700</v>
      </c>
      <c r="F16" s="80">
        <f>E16*D16</f>
        <v>0</v>
      </c>
      <c r="H16" s="81"/>
      <c r="I16" s="82">
        <f t="shared" si="2"/>
        <v>0</v>
      </c>
      <c r="J16" s="9" t="str">
        <f t="shared" si="3"/>
        <v/>
      </c>
      <c r="K16" s="84" t="str">
        <f t="shared" si="4"/>
        <v/>
      </c>
      <c r="M16" s="85"/>
      <c r="N16" s="86" t="str">
        <f t="shared" si="10"/>
        <v/>
      </c>
      <c r="O16" s="120" t="str">
        <f t="shared" si="6"/>
        <v/>
      </c>
      <c r="P16" s="9" t="str">
        <f t="shared" si="7"/>
        <v/>
      </c>
      <c r="Q16" s="85"/>
      <c r="R16" s="210"/>
    </row>
    <row r="17" spans="2:17" ht="30" x14ac:dyDescent="0.25">
      <c r="B17" s="252"/>
      <c r="C17" s="91" t="s">
        <v>177</v>
      </c>
      <c r="D17" s="131">
        <f>$E$2</f>
        <v>0</v>
      </c>
      <c r="E17" s="92">
        <v>7500</v>
      </c>
      <c r="F17" s="92">
        <f t="shared" si="1"/>
        <v>0</v>
      </c>
      <c r="H17" s="81"/>
      <c r="I17" s="93">
        <f>E17*H17</f>
        <v>0</v>
      </c>
      <c r="J17" s="9" t="str">
        <f>IF(I17=0,"",IF(OR(I17-F17&gt;0,I17-F17&lt;0),(I17-F17)/F17,""))</f>
        <v/>
      </c>
      <c r="K17" s="94" t="str">
        <f t="shared" si="4"/>
        <v/>
      </c>
      <c r="M17" s="85"/>
      <c r="N17" s="86" t="str">
        <f t="shared" si="10"/>
        <v/>
      </c>
      <c r="O17" s="121" t="str">
        <f t="shared" si="6"/>
        <v/>
      </c>
      <c r="P17" s="9" t="str">
        <f t="shared" si="7"/>
        <v/>
      </c>
      <c r="Q17" s="95"/>
    </row>
    <row r="18" spans="2:17" x14ac:dyDescent="0.25">
      <c r="B18" s="87" t="s">
        <v>25</v>
      </c>
      <c r="C18" s="87"/>
      <c r="D18" s="87"/>
      <c r="E18" s="82"/>
      <c r="F18" s="82">
        <f>SUM(F7:F17)</f>
        <v>29500</v>
      </c>
      <c r="G18" s="87"/>
      <c r="H18" s="87"/>
      <c r="I18" s="82">
        <f>SUM(I7:I17)</f>
        <v>0</v>
      </c>
      <c r="J18" s="9" t="str">
        <f>IF(I18=0,"",IF(OR(I18-F18&gt;0,I18-F18&lt;0),(I18-F18)/F18,""))</f>
        <v/>
      </c>
      <c r="K18" s="87" t="s">
        <v>25</v>
      </c>
      <c r="L18" s="87"/>
      <c r="M18" s="70"/>
      <c r="N18" s="70"/>
      <c r="O18" s="122">
        <f>SUM(O7:O17)</f>
        <v>0</v>
      </c>
      <c r="P18" s="9" t="str">
        <f>IF(O18=0,"",IF(OR(O18-F18&gt;0,O18-F18&lt;0),(O18-F18)/F18,""))</f>
        <v/>
      </c>
      <c r="Q18" s="87" t="str">
        <f>K18</f>
        <v>סה"כ ציוד וריהוט כללי</v>
      </c>
    </row>
    <row r="19" spans="2:17" ht="15.75" x14ac:dyDescent="0.25">
      <c r="B19" s="249" t="s">
        <v>91</v>
      </c>
      <c r="C19" s="97" t="s">
        <v>3</v>
      </c>
      <c r="D19" s="97">
        <v>1</v>
      </c>
      <c r="E19" s="98">
        <v>3000</v>
      </c>
      <c r="F19" s="98">
        <f>E19*D19</f>
        <v>3000</v>
      </c>
      <c r="H19" s="81"/>
      <c r="I19" s="99">
        <f>E19*H19</f>
        <v>0</v>
      </c>
      <c r="J19" s="9" t="str">
        <f>IF(I19=0,"",IF(OR(I19-F19&gt;0,I19-F19&lt;0),(I19-F19)/F19,""))</f>
        <v/>
      </c>
      <c r="K19" s="100" t="str">
        <f t="shared" ref="K19:K21" si="11">IF(H19&gt;D19,"נא להסביר חריגה כאן","")</f>
        <v/>
      </c>
      <c r="M19" s="85"/>
      <c r="N19" s="86" t="str">
        <f t="shared" ref="N19:N21" si="12">IF(ISBLANK(M19),"",IF(M19="מאשר",H19,"נא למלא כמות מאושרת"))</f>
        <v/>
      </c>
      <c r="O19" s="123" t="str">
        <f t="shared" si="6"/>
        <v/>
      </c>
      <c r="P19" s="9" t="str">
        <f t="shared" si="7"/>
        <v/>
      </c>
      <c r="Q19" s="101"/>
    </row>
    <row r="20" spans="2:17" ht="15.75" x14ac:dyDescent="0.25">
      <c r="B20" s="249"/>
      <c r="C20" s="87" t="s">
        <v>199</v>
      </c>
      <c r="D20" s="130">
        <f>2*$E$2</f>
        <v>0</v>
      </c>
      <c r="E20" s="80">
        <v>3000</v>
      </c>
      <c r="F20" s="80">
        <f>E20*D20</f>
        <v>0</v>
      </c>
      <c r="H20" s="81"/>
      <c r="I20" s="82">
        <f>E20*H20</f>
        <v>0</v>
      </c>
      <c r="J20" s="9" t="str">
        <f>IF(I20=0,"",IF(OR(I20-F20&gt;0,I20-F20&lt;0),(I20-F20)/F20,""))</f>
        <v/>
      </c>
      <c r="K20" s="84" t="str">
        <f t="shared" si="11"/>
        <v/>
      </c>
      <c r="M20" s="85"/>
      <c r="N20" s="86" t="str">
        <f t="shared" si="12"/>
        <v/>
      </c>
      <c r="O20" s="120" t="str">
        <f t="shared" si="6"/>
        <v/>
      </c>
      <c r="P20" s="9" t="str">
        <f t="shared" si="7"/>
        <v/>
      </c>
      <c r="Q20" s="85"/>
    </row>
    <row r="21" spans="2:17" ht="15.75" x14ac:dyDescent="0.25">
      <c r="B21" s="249"/>
      <c r="C21" s="87" t="s">
        <v>167</v>
      </c>
      <c r="D21" s="130">
        <f>$E$2</f>
        <v>0</v>
      </c>
      <c r="E21" s="80">
        <v>1500</v>
      </c>
      <c r="F21" s="92">
        <f>E21*D21</f>
        <v>0</v>
      </c>
      <c r="H21" s="81"/>
      <c r="I21" s="93">
        <f t="shared" ref="I21" si="13">E21*H21</f>
        <v>0</v>
      </c>
      <c r="J21" s="9" t="str">
        <f t="shared" ref="J21" si="14">IF(I21=0,"",IF(OR(I21-F21&gt;0,I21-F21&lt;0),(I21-F21)/F21,""))</f>
        <v/>
      </c>
      <c r="K21" s="84" t="str">
        <f t="shared" si="11"/>
        <v/>
      </c>
      <c r="M21" s="85"/>
      <c r="N21" s="86" t="str">
        <f t="shared" si="12"/>
        <v/>
      </c>
      <c r="O21" s="120" t="str">
        <f t="shared" si="6"/>
        <v/>
      </c>
      <c r="P21" s="9" t="str">
        <f t="shared" si="7"/>
        <v/>
      </c>
      <c r="Q21" s="85"/>
    </row>
    <row r="22" spans="2:17" ht="15.75" customHeight="1" x14ac:dyDescent="0.25">
      <c r="B22" s="110" t="s">
        <v>92</v>
      </c>
      <c r="C22" s="220"/>
      <c r="D22" s="114"/>
      <c r="E22" s="115"/>
      <c r="F22" s="80">
        <f>SUM(F19:F21)</f>
        <v>3000</v>
      </c>
      <c r="H22" s="113"/>
      <c r="I22" s="80">
        <f>SUM(I19:I21)</f>
        <v>0</v>
      </c>
      <c r="J22" s="9" t="str">
        <f t="shared" ref="J22:J29" si="15">IF(I22=0,"",IF(OR(I22-F22&gt;0,I22-F22&lt;0),(I22-F22)/F22,""))</f>
        <v/>
      </c>
      <c r="K22" s="87" t="str">
        <f>B22</f>
        <v>סה"כ ארונות ומידוף</v>
      </c>
      <c r="M22" s="70"/>
      <c r="N22" s="70"/>
      <c r="O22" s="124">
        <f>SUM(O19:O21)</f>
        <v>0</v>
      </c>
      <c r="P22" s="9" t="str">
        <f>IF(O22=0,"",IF(OR(O22-F22&gt;0,O22-F22&lt;0),(O22-F22)/F22,""))</f>
        <v/>
      </c>
      <c r="Q22" s="87" t="str">
        <f>K22</f>
        <v>סה"כ ארונות ומידוף</v>
      </c>
    </row>
    <row r="23" spans="2:17" ht="15.75" x14ac:dyDescent="0.25">
      <c r="B23" s="250" t="s">
        <v>27</v>
      </c>
      <c r="C23" s="87" t="s">
        <v>82</v>
      </c>
      <c r="D23" s="87">
        <v>1</v>
      </c>
      <c r="E23" s="80">
        <v>2000</v>
      </c>
      <c r="F23" s="82">
        <f>E23*D23</f>
        <v>2000</v>
      </c>
      <c r="H23" s="81"/>
      <c r="I23" s="82">
        <f t="shared" ref="I23:I29" si="16">E23*H23</f>
        <v>0</v>
      </c>
      <c r="J23" s="9" t="str">
        <f t="shared" si="15"/>
        <v/>
      </c>
      <c r="K23" s="84" t="str">
        <f t="shared" ref="K23:K31" si="17">IF(H23&gt;D23,"נא להסביר חריגה כאן","")</f>
        <v/>
      </c>
      <c r="M23" s="85"/>
      <c r="N23" s="86" t="str">
        <f t="shared" ref="N23:N31" si="18">IF(ISBLANK(M23),"",IF(M23="מאשר",H23,"נא למלא כמות מאושרת"))</f>
        <v/>
      </c>
      <c r="O23" s="120" t="str">
        <f t="shared" si="6"/>
        <v/>
      </c>
      <c r="P23" s="9" t="str">
        <f t="shared" si="7"/>
        <v/>
      </c>
      <c r="Q23" s="85"/>
    </row>
    <row r="24" spans="2:17" ht="15.75" x14ac:dyDescent="0.25">
      <c r="B24" s="249"/>
      <c r="C24" s="79" t="s">
        <v>182</v>
      </c>
      <c r="D24" s="132">
        <f>IF($E$1&lt;=50,1,2)</f>
        <v>1</v>
      </c>
      <c r="E24" s="80">
        <v>5000</v>
      </c>
      <c r="F24" s="82">
        <f t="shared" ref="F24:F31" si="19">E24*D24</f>
        <v>5000</v>
      </c>
      <c r="H24" s="81"/>
      <c r="I24" s="82">
        <f t="shared" si="16"/>
        <v>0</v>
      </c>
      <c r="J24" s="9" t="str">
        <f t="shared" si="15"/>
        <v/>
      </c>
      <c r="K24" s="84" t="str">
        <f t="shared" si="17"/>
        <v/>
      </c>
      <c r="M24" s="85"/>
      <c r="N24" s="86" t="str">
        <f t="shared" si="18"/>
        <v/>
      </c>
      <c r="O24" s="120" t="str">
        <f t="shared" si="6"/>
        <v/>
      </c>
      <c r="P24" s="9" t="str">
        <f t="shared" si="7"/>
        <v/>
      </c>
      <c r="Q24" s="85"/>
    </row>
    <row r="25" spans="2:17" ht="30" x14ac:dyDescent="0.25">
      <c r="B25" s="249"/>
      <c r="C25" s="79" t="s">
        <v>183</v>
      </c>
      <c r="D25" s="132">
        <f>IF($E$1&lt;=50,1,2)</f>
        <v>1</v>
      </c>
      <c r="E25" s="80">
        <v>3500</v>
      </c>
      <c r="F25" s="82">
        <f t="shared" si="19"/>
        <v>3500</v>
      </c>
      <c r="H25" s="81"/>
      <c r="I25" s="82">
        <f t="shared" si="16"/>
        <v>0</v>
      </c>
      <c r="J25" s="9" t="str">
        <f t="shared" si="15"/>
        <v/>
      </c>
      <c r="K25" s="84" t="str">
        <f t="shared" si="17"/>
        <v/>
      </c>
      <c r="M25" s="85"/>
      <c r="N25" s="86" t="str">
        <f t="shared" si="18"/>
        <v/>
      </c>
      <c r="O25" s="120" t="str">
        <f t="shared" si="6"/>
        <v/>
      </c>
      <c r="P25" s="9" t="str">
        <f t="shared" si="7"/>
        <v/>
      </c>
      <c r="Q25" s="85"/>
    </row>
    <row r="26" spans="2:17" ht="15.75" x14ac:dyDescent="0.25">
      <c r="B26" s="249"/>
      <c r="C26" s="79" t="s">
        <v>5</v>
      </c>
      <c r="D26" s="87">
        <v>1</v>
      </c>
      <c r="E26" s="80">
        <v>3000</v>
      </c>
      <c r="F26" s="82">
        <f t="shared" si="19"/>
        <v>3000</v>
      </c>
      <c r="H26" s="81"/>
      <c r="I26" s="82">
        <f t="shared" si="16"/>
        <v>0</v>
      </c>
      <c r="J26" s="9" t="str">
        <f t="shared" si="15"/>
        <v/>
      </c>
      <c r="K26" s="84" t="str">
        <f t="shared" si="17"/>
        <v/>
      </c>
      <c r="M26" s="85"/>
      <c r="N26" s="86" t="str">
        <f t="shared" si="18"/>
        <v/>
      </c>
      <c r="O26" s="120" t="str">
        <f t="shared" si="6"/>
        <v/>
      </c>
      <c r="P26" s="9" t="str">
        <f t="shared" si="7"/>
        <v/>
      </c>
      <c r="Q26" s="85"/>
    </row>
    <row r="27" spans="2:17" ht="15.75" x14ac:dyDescent="0.25">
      <c r="B27" s="249"/>
      <c r="C27" s="79" t="s">
        <v>6</v>
      </c>
      <c r="D27" s="87">
        <v>1</v>
      </c>
      <c r="E27" s="80">
        <v>2000</v>
      </c>
      <c r="F27" s="82">
        <f t="shared" si="19"/>
        <v>2000</v>
      </c>
      <c r="H27" s="81"/>
      <c r="I27" s="82">
        <f t="shared" si="16"/>
        <v>0</v>
      </c>
      <c r="J27" s="9" t="str">
        <f t="shared" si="15"/>
        <v/>
      </c>
      <c r="K27" s="84" t="str">
        <f t="shared" si="17"/>
        <v/>
      </c>
      <c r="M27" s="85"/>
      <c r="N27" s="86" t="str">
        <f t="shared" si="18"/>
        <v/>
      </c>
      <c r="O27" s="120" t="str">
        <f t="shared" si="6"/>
        <v/>
      </c>
      <c r="P27" s="9" t="str">
        <f t="shared" si="7"/>
        <v/>
      </c>
      <c r="Q27" s="85"/>
    </row>
    <row r="28" spans="2:17" ht="15.75" x14ac:dyDescent="0.25">
      <c r="B28" s="249"/>
      <c r="C28" s="79" t="s">
        <v>43</v>
      </c>
      <c r="D28" s="87">
        <v>1</v>
      </c>
      <c r="E28" s="80">
        <v>3000</v>
      </c>
      <c r="F28" s="82">
        <f t="shared" si="19"/>
        <v>3000</v>
      </c>
      <c r="H28" s="81"/>
      <c r="I28" s="82">
        <f t="shared" si="16"/>
        <v>0</v>
      </c>
      <c r="J28" s="9" t="str">
        <f t="shared" si="15"/>
        <v/>
      </c>
      <c r="K28" s="84" t="str">
        <f t="shared" si="17"/>
        <v/>
      </c>
      <c r="M28" s="85"/>
      <c r="N28" s="86" t="str">
        <f t="shared" si="18"/>
        <v/>
      </c>
      <c r="O28" s="120" t="str">
        <f t="shared" ref="O28:O31" si="20">IFERROR(IF(M28="","",N28*E28),"")</f>
        <v/>
      </c>
      <c r="P28" s="9" t="str">
        <f t="shared" ref="P28:P31" si="21">IF(O28="","",IF(OR(O28-F28&gt;0,O28-F28&lt;0),(O28-F28)/F28,""))</f>
        <v/>
      </c>
      <c r="Q28" s="85"/>
    </row>
    <row r="29" spans="2:17" ht="15.75" x14ac:dyDescent="0.25">
      <c r="B29" s="249"/>
      <c r="C29" s="79" t="s">
        <v>122</v>
      </c>
      <c r="D29" s="87">
        <v>1</v>
      </c>
      <c r="E29" s="80">
        <v>3000</v>
      </c>
      <c r="F29" s="82">
        <f t="shared" si="19"/>
        <v>3000</v>
      </c>
      <c r="H29" s="81"/>
      <c r="I29" s="82">
        <f t="shared" si="16"/>
        <v>0</v>
      </c>
      <c r="J29" s="9" t="str">
        <f t="shared" si="15"/>
        <v/>
      </c>
      <c r="K29" s="84" t="str">
        <f t="shared" si="17"/>
        <v/>
      </c>
      <c r="M29" s="85"/>
      <c r="N29" s="86" t="str">
        <f t="shared" si="18"/>
        <v/>
      </c>
      <c r="O29" s="120" t="str">
        <f t="shared" si="20"/>
        <v/>
      </c>
      <c r="P29" s="9" t="str">
        <f t="shared" si="21"/>
        <v/>
      </c>
      <c r="Q29" s="85"/>
    </row>
    <row r="30" spans="2:17" ht="30" x14ac:dyDescent="0.25">
      <c r="B30" s="249"/>
      <c r="C30" s="79" t="s">
        <v>181</v>
      </c>
      <c r="D30" s="3">
        <f>ROUND(1.2*$E$1,0)</f>
        <v>0</v>
      </c>
      <c r="E30" s="102">
        <v>100</v>
      </c>
      <c r="F30" s="102">
        <f>E30*D30</f>
        <v>0</v>
      </c>
      <c r="G30" s="72"/>
      <c r="H30" s="81"/>
      <c r="I30" s="90">
        <f t="shared" ref="I30" si="22">E30*H30</f>
        <v>0</v>
      </c>
      <c r="J30" s="9" t="str">
        <f t="shared" ref="J30" si="23">IF(I30=0,"",IF(OR(I30-F30&gt;0,I30-F30&lt;0),(I30-F30)/F30,""))</f>
        <v/>
      </c>
      <c r="K30" s="84" t="str">
        <f t="shared" si="17"/>
        <v/>
      </c>
      <c r="M30" s="85"/>
      <c r="N30" s="86" t="str">
        <f t="shared" si="18"/>
        <v/>
      </c>
      <c r="O30" s="120" t="str">
        <f t="shared" si="20"/>
        <v/>
      </c>
      <c r="P30" s="9" t="str">
        <f t="shared" si="21"/>
        <v/>
      </c>
      <c r="Q30" s="85"/>
    </row>
    <row r="31" spans="2:17" ht="30" x14ac:dyDescent="0.25">
      <c r="B31" s="249"/>
      <c r="C31" s="91" t="s">
        <v>180</v>
      </c>
      <c r="D31" s="103">
        <v>1</v>
      </c>
      <c r="E31" s="133">
        <f>IF($E$1&lt;=50,2000,4000)</f>
        <v>2000</v>
      </c>
      <c r="F31" s="93">
        <f t="shared" si="19"/>
        <v>2000</v>
      </c>
      <c r="H31" s="81"/>
      <c r="I31" s="93">
        <f>E31*H31</f>
        <v>0</v>
      </c>
      <c r="J31" s="9" t="str">
        <f t="shared" ref="J31:J51" si="24">IF(I31=0,"",IF(OR(I31-F31&gt;0,I31-F31&lt;0),(I31-F31)/F31,""))</f>
        <v/>
      </c>
      <c r="K31" s="94" t="str">
        <f t="shared" si="17"/>
        <v/>
      </c>
      <c r="M31" s="85"/>
      <c r="N31" s="86" t="str">
        <f t="shared" si="18"/>
        <v/>
      </c>
      <c r="O31" s="120" t="str">
        <f t="shared" si="20"/>
        <v/>
      </c>
      <c r="P31" s="9" t="str">
        <f t="shared" si="21"/>
        <v/>
      </c>
      <c r="Q31" s="85"/>
    </row>
    <row r="32" spans="2:17" ht="15.75" x14ac:dyDescent="0.25">
      <c r="B32" s="247" t="s">
        <v>26</v>
      </c>
      <c r="C32" s="248"/>
      <c r="D32" s="114"/>
      <c r="E32" s="115"/>
      <c r="F32" s="80">
        <f>SUM(F23:F31)</f>
        <v>23500</v>
      </c>
      <c r="H32" s="113"/>
      <c r="I32" s="80">
        <f>SUM(I23:I31)</f>
        <v>0</v>
      </c>
      <c r="J32" s="9" t="str">
        <f t="shared" si="24"/>
        <v/>
      </c>
      <c r="K32" s="87" t="s">
        <v>26</v>
      </c>
      <c r="M32" s="70"/>
      <c r="N32" s="70"/>
      <c r="O32" s="124">
        <f>SUM(O23:O31)</f>
        <v>0</v>
      </c>
      <c r="P32" s="9" t="str">
        <f>IF(O32=0,"",IF(OR(O32-F32&gt;0,O32-F32&lt;0),(O32-F32)/F32,""))</f>
        <v/>
      </c>
      <c r="Q32" s="87" t="s">
        <v>26</v>
      </c>
    </row>
    <row r="33" spans="2:17" ht="30" x14ac:dyDescent="0.25">
      <c r="B33" s="249" t="s">
        <v>59</v>
      </c>
      <c r="C33" s="104" t="s">
        <v>221</v>
      </c>
      <c r="D33" s="134">
        <f>$E$2</f>
        <v>0</v>
      </c>
      <c r="E33" s="105">
        <v>4500</v>
      </c>
      <c r="F33" s="98">
        <f>E33*D33</f>
        <v>0</v>
      </c>
      <c r="H33" s="81"/>
      <c r="I33" s="99">
        <f t="shared" ref="I33:I38" si="25">E33*H33</f>
        <v>0</v>
      </c>
      <c r="J33" s="9" t="str">
        <f t="shared" si="24"/>
        <v/>
      </c>
      <c r="K33" s="100" t="str">
        <f t="shared" ref="K33:K38" si="26">IF(H33&gt;D33,"נא להסביר חריגה כאן","")</f>
        <v/>
      </c>
      <c r="M33" s="85"/>
      <c r="N33" s="86" t="str">
        <f t="shared" ref="N33:N38" si="27">IF(ISBLANK(M33),"",IF(M33="מאשר",H33,"נא למלא כמות מאושרת"))</f>
        <v/>
      </c>
      <c r="O33" s="120" t="str">
        <f t="shared" ref="O33" si="28">IFERROR(IF(M33="","",N33*E33),"")</f>
        <v/>
      </c>
      <c r="P33" s="9" t="str">
        <f t="shared" ref="P33" si="29">IF(O33="","",IF(OR(O33-F33&gt;0,O33-F33&lt;0),(O33-F33)/F33,""))</f>
        <v/>
      </c>
      <c r="Q33" s="85"/>
    </row>
    <row r="34" spans="2:17" ht="15.75" x14ac:dyDescent="0.25">
      <c r="B34" s="249"/>
      <c r="C34" s="88" t="s">
        <v>179</v>
      </c>
      <c r="D34" s="135">
        <f>D33</f>
        <v>0</v>
      </c>
      <c r="E34" s="102">
        <v>250</v>
      </c>
      <c r="F34" s="82">
        <f t="shared" ref="F34:F38" si="30">E34*D34</f>
        <v>0</v>
      </c>
      <c r="H34" s="81"/>
      <c r="I34" s="82">
        <f t="shared" si="25"/>
        <v>0</v>
      </c>
      <c r="J34" s="9" t="str">
        <f t="shared" si="24"/>
        <v/>
      </c>
      <c r="K34" s="84" t="str">
        <f t="shared" si="26"/>
        <v/>
      </c>
      <c r="M34" s="85"/>
      <c r="N34" s="86" t="str">
        <f t="shared" si="27"/>
        <v/>
      </c>
      <c r="O34" s="120" t="str">
        <f t="shared" ref="O34:O37" si="31">IFERROR(IF(M34="","",N34*E34),"")</f>
        <v/>
      </c>
      <c r="P34" s="9" t="str">
        <f t="shared" ref="P34:P37" si="32">IF(O34="","",IF(OR(O34-F34&gt;0,O34-F34&lt;0),(O34-F34)/F34,""))</f>
        <v/>
      </c>
      <c r="Q34" s="85"/>
    </row>
    <row r="35" spans="2:17" ht="15.75" x14ac:dyDescent="0.25">
      <c r="B35" s="249"/>
      <c r="C35" s="88" t="s">
        <v>38</v>
      </c>
      <c r="D35" s="87">
        <v>1</v>
      </c>
      <c r="E35" s="82">
        <v>3000</v>
      </c>
      <c r="F35" s="82">
        <f t="shared" si="30"/>
        <v>3000</v>
      </c>
      <c r="H35" s="81"/>
      <c r="I35" s="82">
        <f t="shared" si="25"/>
        <v>0</v>
      </c>
      <c r="J35" s="9" t="str">
        <f t="shared" si="24"/>
        <v/>
      </c>
      <c r="K35" s="84" t="str">
        <f t="shared" si="26"/>
        <v/>
      </c>
      <c r="M35" s="85"/>
      <c r="N35" s="86" t="str">
        <f t="shared" si="27"/>
        <v/>
      </c>
      <c r="O35" s="120" t="str">
        <f t="shared" si="31"/>
        <v/>
      </c>
      <c r="P35" s="9" t="str">
        <f t="shared" si="32"/>
        <v/>
      </c>
      <c r="Q35" s="85"/>
    </row>
    <row r="36" spans="2:17" ht="30" x14ac:dyDescent="0.25">
      <c r="B36" s="249"/>
      <c r="C36" s="88" t="s">
        <v>193</v>
      </c>
      <c r="D36" s="87">
        <v>1</v>
      </c>
      <c r="E36" s="55">
        <f>IF($E$1&lt;=50,2000,4000)</f>
        <v>2000</v>
      </c>
      <c r="F36" s="82">
        <f t="shared" si="30"/>
        <v>2000</v>
      </c>
      <c r="H36" s="81"/>
      <c r="I36" s="82">
        <f t="shared" si="25"/>
        <v>0</v>
      </c>
      <c r="J36" s="9" t="str">
        <f t="shared" si="24"/>
        <v/>
      </c>
      <c r="K36" s="84" t="str">
        <f t="shared" si="26"/>
        <v/>
      </c>
      <c r="M36" s="85"/>
      <c r="N36" s="86" t="str">
        <f t="shared" si="27"/>
        <v/>
      </c>
      <c r="O36" s="120" t="str">
        <f t="shared" si="31"/>
        <v/>
      </c>
      <c r="P36" s="9" t="str">
        <f t="shared" si="32"/>
        <v/>
      </c>
      <c r="Q36" s="85"/>
    </row>
    <row r="37" spans="2:17" ht="15.75" x14ac:dyDescent="0.25">
      <c r="B37" s="249"/>
      <c r="C37" s="88" t="s">
        <v>178</v>
      </c>
      <c r="D37" s="50">
        <f>IF($E$1&lt;=50,1,2)</f>
        <v>1</v>
      </c>
      <c r="E37" s="82">
        <v>1500</v>
      </c>
      <c r="F37" s="82">
        <f t="shared" ref="F37" si="33">E37*D37</f>
        <v>1500</v>
      </c>
      <c r="H37" s="81"/>
      <c r="I37" s="82">
        <f t="shared" si="25"/>
        <v>0</v>
      </c>
      <c r="J37" s="9" t="str">
        <f t="shared" si="24"/>
        <v/>
      </c>
      <c r="K37" s="84" t="str">
        <f t="shared" si="26"/>
        <v/>
      </c>
      <c r="M37" s="85"/>
      <c r="N37" s="86" t="str">
        <f t="shared" si="27"/>
        <v/>
      </c>
      <c r="O37" s="120" t="str">
        <f t="shared" si="31"/>
        <v/>
      </c>
      <c r="P37" s="9" t="str">
        <f t="shared" si="32"/>
        <v/>
      </c>
      <c r="Q37" s="85"/>
    </row>
    <row r="38" spans="2:17" ht="45" x14ac:dyDescent="0.25">
      <c r="B38" s="249"/>
      <c r="C38" s="106" t="s">
        <v>211</v>
      </c>
      <c r="D38" s="103">
        <v>1</v>
      </c>
      <c r="E38" s="93">
        <v>20000</v>
      </c>
      <c r="F38" s="93">
        <f t="shared" si="30"/>
        <v>20000</v>
      </c>
      <c r="H38" s="81"/>
      <c r="I38" s="93">
        <f t="shared" si="25"/>
        <v>0</v>
      </c>
      <c r="J38" s="9" t="str">
        <f t="shared" si="24"/>
        <v/>
      </c>
      <c r="K38" s="94" t="str">
        <f t="shared" si="26"/>
        <v/>
      </c>
      <c r="M38" s="85"/>
      <c r="N38" s="86" t="str">
        <f t="shared" si="27"/>
        <v/>
      </c>
      <c r="O38" s="120" t="str">
        <f t="shared" ref="O38" si="34">IFERROR(IF(M38="","",N38*E38),"")</f>
        <v/>
      </c>
      <c r="P38" s="9" t="str">
        <f t="shared" ref="P38" si="35">IF(O38="","",IF(OR(O38-F38&gt;0,O38-F38&lt;0),(O38-F38)/F38,""))</f>
        <v/>
      </c>
      <c r="Q38" s="85"/>
    </row>
    <row r="39" spans="2:17" ht="15.75" x14ac:dyDescent="0.25">
      <c r="B39" s="247" t="s">
        <v>60</v>
      </c>
      <c r="C39" s="248"/>
      <c r="D39" s="114"/>
      <c r="E39" s="115"/>
      <c r="F39" s="80">
        <f>SUM(F33:F38)</f>
        <v>26500</v>
      </c>
      <c r="H39" s="113"/>
      <c r="I39" s="80">
        <f>SUM(I33:I38)</f>
        <v>0</v>
      </c>
      <c r="J39" s="9" t="str">
        <f t="shared" si="24"/>
        <v/>
      </c>
      <c r="K39" s="87" t="s">
        <v>28</v>
      </c>
      <c r="M39" s="70"/>
      <c r="N39" s="70"/>
      <c r="O39" s="124">
        <f>SUM(O33:O38)</f>
        <v>0</v>
      </c>
      <c r="P39" s="9" t="str">
        <f>IF(O39=0,"",IF(OR(O39-F39&gt;0,O39-F39&lt;0),(O39-F39)/F39,""))</f>
        <v/>
      </c>
      <c r="Q39" s="87" t="s">
        <v>28</v>
      </c>
    </row>
    <row r="40" spans="2:17" ht="30" x14ac:dyDescent="0.25">
      <c r="B40" s="249" t="s">
        <v>29</v>
      </c>
      <c r="C40" s="107" t="s">
        <v>174</v>
      </c>
      <c r="D40" s="136">
        <f>IF($E$1&lt;=50,2,4)</f>
        <v>2</v>
      </c>
      <c r="E40" s="99">
        <v>2000</v>
      </c>
      <c r="F40" s="99">
        <f>E40*D40</f>
        <v>4000</v>
      </c>
      <c r="H40" s="81"/>
      <c r="I40" s="99">
        <f t="shared" ref="I40:I45" si="36">E40*H40</f>
        <v>0</v>
      </c>
      <c r="J40" s="9" t="str">
        <f t="shared" si="24"/>
        <v/>
      </c>
      <c r="K40" s="100" t="str">
        <f t="shared" ref="K40:K45" si="37">IF(H40&gt;D40,"נא להסביר חריגה כאן","")</f>
        <v/>
      </c>
      <c r="M40" s="85"/>
      <c r="N40" s="86" t="str">
        <f t="shared" ref="N40:N45" si="38">IF(ISBLANK(M40),"",IF(M40="מאשר",H40,"נא למלא כמות מאושרת"))</f>
        <v/>
      </c>
      <c r="O40" s="120" t="str">
        <f t="shared" ref="O40:O45" si="39">IFERROR(IF(M40="","",N40*E40),"")</f>
        <v/>
      </c>
      <c r="P40" s="9" t="str">
        <f t="shared" ref="P40:P45" si="40">IF(O40="","",IF(OR(O40-F40&gt;0,O40-F40&lt;0),(O40-F40)/F40,""))</f>
        <v/>
      </c>
      <c r="Q40" s="85"/>
    </row>
    <row r="41" spans="2:17" ht="15.75" x14ac:dyDescent="0.25">
      <c r="B41" s="249"/>
      <c r="C41" s="79" t="s">
        <v>222</v>
      </c>
      <c r="D41" s="3">
        <f>IF($E$1&lt;=50,3,5)</f>
        <v>3</v>
      </c>
      <c r="E41" s="82">
        <v>3000</v>
      </c>
      <c r="F41" s="82">
        <f t="shared" ref="F41:F45" si="41">E41*D41</f>
        <v>9000</v>
      </c>
      <c r="H41" s="81"/>
      <c r="I41" s="82">
        <f t="shared" si="36"/>
        <v>0</v>
      </c>
      <c r="J41" s="9" t="str">
        <f t="shared" si="24"/>
        <v/>
      </c>
      <c r="K41" s="84" t="str">
        <f t="shared" si="37"/>
        <v/>
      </c>
      <c r="M41" s="85"/>
      <c r="N41" s="86" t="str">
        <f t="shared" si="38"/>
        <v/>
      </c>
      <c r="O41" s="120" t="str">
        <f t="shared" si="39"/>
        <v/>
      </c>
      <c r="P41" s="9" t="str">
        <f t="shared" si="40"/>
        <v/>
      </c>
      <c r="Q41" s="85"/>
    </row>
    <row r="42" spans="2:17" ht="15.75" x14ac:dyDescent="0.25">
      <c r="B42" s="249"/>
      <c r="C42" s="79" t="s">
        <v>173</v>
      </c>
      <c r="D42" s="3">
        <f>IF($E$1&lt;=50,2,3)</f>
        <v>2</v>
      </c>
      <c r="E42" s="82">
        <v>1500</v>
      </c>
      <c r="F42" s="82">
        <f t="shared" si="41"/>
        <v>3000</v>
      </c>
      <c r="H42" s="81"/>
      <c r="I42" s="82">
        <f t="shared" si="36"/>
        <v>0</v>
      </c>
      <c r="J42" s="9" t="str">
        <f t="shared" si="24"/>
        <v/>
      </c>
      <c r="K42" s="84" t="str">
        <f t="shared" si="37"/>
        <v/>
      </c>
      <c r="M42" s="85"/>
      <c r="N42" s="86" t="str">
        <f t="shared" si="38"/>
        <v/>
      </c>
      <c r="O42" s="120" t="str">
        <f t="shared" si="39"/>
        <v/>
      </c>
      <c r="P42" s="9" t="str">
        <f t="shared" si="40"/>
        <v/>
      </c>
      <c r="Q42" s="85"/>
    </row>
    <row r="43" spans="2:17" ht="15.75" x14ac:dyDescent="0.25">
      <c r="B43" s="249"/>
      <c r="C43" s="79" t="s">
        <v>172</v>
      </c>
      <c r="D43" s="3">
        <f>IF($E$1&lt;=50,2,3)</f>
        <v>2</v>
      </c>
      <c r="E43" s="82">
        <v>2000</v>
      </c>
      <c r="F43" s="82">
        <f t="shared" si="41"/>
        <v>4000</v>
      </c>
      <c r="H43" s="81"/>
      <c r="I43" s="82">
        <f t="shared" si="36"/>
        <v>0</v>
      </c>
      <c r="J43" s="9" t="str">
        <f t="shared" si="24"/>
        <v/>
      </c>
      <c r="K43" s="84" t="str">
        <f t="shared" si="37"/>
        <v/>
      </c>
      <c r="M43" s="85"/>
      <c r="N43" s="86" t="str">
        <f t="shared" si="38"/>
        <v/>
      </c>
      <c r="O43" s="120" t="str">
        <f t="shared" si="39"/>
        <v/>
      </c>
      <c r="P43" s="9" t="str">
        <f t="shared" si="40"/>
        <v/>
      </c>
      <c r="Q43" s="85"/>
    </row>
    <row r="44" spans="2:17" ht="30" x14ac:dyDescent="0.25">
      <c r="B44" s="249"/>
      <c r="C44" s="79" t="s">
        <v>195</v>
      </c>
      <c r="D44" s="87">
        <v>1</v>
      </c>
      <c r="E44" s="137">
        <f>IF($E$1&lt;=50,3000,5000)</f>
        <v>3000</v>
      </c>
      <c r="F44" s="82">
        <f t="shared" si="41"/>
        <v>3000</v>
      </c>
      <c r="H44" s="81"/>
      <c r="I44" s="82">
        <f t="shared" si="36"/>
        <v>0</v>
      </c>
      <c r="J44" s="9" t="str">
        <f t="shared" si="24"/>
        <v/>
      </c>
      <c r="K44" s="84" t="str">
        <f t="shared" si="37"/>
        <v/>
      </c>
      <c r="M44" s="85"/>
      <c r="N44" s="86" t="str">
        <f t="shared" si="38"/>
        <v/>
      </c>
      <c r="O44" s="120" t="str">
        <f t="shared" si="39"/>
        <v/>
      </c>
      <c r="P44" s="9" t="str">
        <f t="shared" si="40"/>
        <v/>
      </c>
      <c r="Q44" s="85"/>
    </row>
    <row r="45" spans="2:17" ht="15.75" x14ac:dyDescent="0.25">
      <c r="B45" s="249"/>
      <c r="C45" s="91" t="s">
        <v>171</v>
      </c>
      <c r="D45" s="138">
        <f>IF($E$1&lt;=50,2,4)</f>
        <v>2</v>
      </c>
      <c r="E45" s="93">
        <v>400</v>
      </c>
      <c r="F45" s="93">
        <f t="shared" si="41"/>
        <v>800</v>
      </c>
      <c r="H45" s="81"/>
      <c r="I45" s="93">
        <f t="shared" si="36"/>
        <v>0</v>
      </c>
      <c r="J45" s="9" t="str">
        <f t="shared" si="24"/>
        <v/>
      </c>
      <c r="K45" s="94" t="str">
        <f t="shared" si="37"/>
        <v/>
      </c>
      <c r="M45" s="85"/>
      <c r="N45" s="86" t="str">
        <f t="shared" si="38"/>
        <v/>
      </c>
      <c r="O45" s="120" t="str">
        <f t="shared" si="39"/>
        <v/>
      </c>
      <c r="P45" s="9" t="str">
        <f t="shared" si="40"/>
        <v/>
      </c>
      <c r="Q45" s="85"/>
    </row>
    <row r="46" spans="2:17" ht="15.75" x14ac:dyDescent="0.25">
      <c r="B46" s="247" t="s">
        <v>30</v>
      </c>
      <c r="C46" s="248"/>
      <c r="D46" s="114"/>
      <c r="E46" s="115"/>
      <c r="F46" s="80">
        <f>SUM(F40:F45)</f>
        <v>23800</v>
      </c>
      <c r="H46" s="113"/>
      <c r="I46" s="80">
        <f>SUM(I40:I45)</f>
        <v>0</v>
      </c>
      <c r="J46" s="9" t="str">
        <f t="shared" si="24"/>
        <v/>
      </c>
      <c r="K46" s="87" t="s">
        <v>30</v>
      </c>
      <c r="M46" s="70"/>
      <c r="N46" s="70"/>
      <c r="O46" s="124">
        <f>SUM(O40:O45)</f>
        <v>0</v>
      </c>
      <c r="P46" s="9" t="str">
        <f>IF(O46=0,"",IF(OR(O46-F46&gt;0,O46-F46&lt;0),(O46-F46)/F46,""))</f>
        <v/>
      </c>
      <c r="Q46" s="87" t="s">
        <v>30</v>
      </c>
    </row>
    <row r="47" spans="2:17" ht="30" x14ac:dyDescent="0.25">
      <c r="B47" s="249" t="s">
        <v>9</v>
      </c>
      <c r="C47" s="107" t="s">
        <v>170</v>
      </c>
      <c r="D47" s="136">
        <f>IF($E$1&lt;=50,3,4)</f>
        <v>3</v>
      </c>
      <c r="E47" s="99">
        <v>500</v>
      </c>
      <c r="F47" s="99">
        <f>E47*D47</f>
        <v>1500</v>
      </c>
      <c r="H47" s="81"/>
      <c r="I47" s="99">
        <f>E47*H47</f>
        <v>0</v>
      </c>
      <c r="J47" s="9" t="str">
        <f t="shared" si="24"/>
        <v/>
      </c>
      <c r="K47" s="100" t="str">
        <f t="shared" ref="K47:K50" si="42">IF(H47&gt;D47,"נא להסביר חריגה כאן","")</f>
        <v/>
      </c>
      <c r="M47" s="85"/>
      <c r="N47" s="86" t="str">
        <f t="shared" ref="N47:N50" si="43">IF(ISBLANK(M47),"",IF(M47="מאשר",H47,"נא למלא כמות מאושרת"))</f>
        <v/>
      </c>
      <c r="O47" s="120" t="str">
        <f t="shared" ref="O47:O50" si="44">IFERROR(IF(M47="","",N47*E47),"")</f>
        <v/>
      </c>
      <c r="P47" s="9" t="str">
        <f t="shared" ref="P47:P50" si="45">IF(O47="","",IF(OR(O47-F47&gt;0,O47-F47&lt;0),(O47-F47)/F47,""))</f>
        <v/>
      </c>
      <c r="Q47" s="85"/>
    </row>
    <row r="48" spans="2:17" ht="15.75" x14ac:dyDescent="0.25">
      <c r="B48" s="249"/>
      <c r="C48" s="79" t="s">
        <v>168</v>
      </c>
      <c r="D48" s="3">
        <f>IF($E$1&lt;=50,1,2)</f>
        <v>1</v>
      </c>
      <c r="E48" s="82">
        <v>400</v>
      </c>
      <c r="F48" s="82">
        <f t="shared" ref="F48:F50" si="46">E48*D48</f>
        <v>400</v>
      </c>
      <c r="H48" s="81"/>
      <c r="I48" s="82">
        <f>E48*H48</f>
        <v>0</v>
      </c>
      <c r="J48" s="9" t="str">
        <f t="shared" si="24"/>
        <v/>
      </c>
      <c r="K48" s="84" t="str">
        <f t="shared" si="42"/>
        <v/>
      </c>
      <c r="M48" s="85"/>
      <c r="N48" s="86" t="str">
        <f t="shared" si="43"/>
        <v/>
      </c>
      <c r="O48" s="120" t="str">
        <f t="shared" si="44"/>
        <v/>
      </c>
      <c r="P48" s="9" t="str">
        <f t="shared" si="45"/>
        <v/>
      </c>
      <c r="Q48" s="85"/>
    </row>
    <row r="49" spans="2:18" ht="73.5" customHeight="1" x14ac:dyDescent="0.25">
      <c r="B49" s="249"/>
      <c r="C49" s="79" t="s">
        <v>231</v>
      </c>
      <c r="D49" s="87">
        <v>1</v>
      </c>
      <c r="E49" s="139">
        <f>5000+2*1500*$E$2</f>
        <v>5000</v>
      </c>
      <c r="F49" s="82">
        <f t="shared" si="46"/>
        <v>5000</v>
      </c>
      <c r="H49" s="81"/>
      <c r="I49" s="82">
        <f>E49*H49</f>
        <v>0</v>
      </c>
      <c r="J49" s="9" t="str">
        <f t="shared" si="24"/>
        <v/>
      </c>
      <c r="K49" s="84" t="str">
        <f t="shared" si="42"/>
        <v/>
      </c>
      <c r="M49" s="85"/>
      <c r="N49" s="86" t="str">
        <f t="shared" si="43"/>
        <v/>
      </c>
      <c r="O49" s="120" t="str">
        <f t="shared" si="44"/>
        <v/>
      </c>
      <c r="P49" s="9" t="str">
        <f t="shared" si="45"/>
        <v/>
      </c>
      <c r="Q49" s="85"/>
    </row>
    <row r="50" spans="2:18" ht="30" x14ac:dyDescent="0.25">
      <c r="B50" s="249"/>
      <c r="C50" s="91" t="s">
        <v>163</v>
      </c>
      <c r="D50" s="131">
        <f>ROUND(1.3*$E$2,0)</f>
        <v>0</v>
      </c>
      <c r="E50" s="93">
        <v>200</v>
      </c>
      <c r="F50" s="93">
        <f t="shared" si="46"/>
        <v>0</v>
      </c>
      <c r="H50" s="81"/>
      <c r="I50" s="93">
        <f>E50*H50</f>
        <v>0</v>
      </c>
      <c r="J50" s="9" t="str">
        <f t="shared" si="24"/>
        <v/>
      </c>
      <c r="K50" s="94" t="str">
        <f t="shared" si="42"/>
        <v/>
      </c>
      <c r="M50" s="85"/>
      <c r="N50" s="86" t="str">
        <f t="shared" si="43"/>
        <v/>
      </c>
      <c r="O50" s="120" t="str">
        <f t="shared" si="44"/>
        <v/>
      </c>
      <c r="P50" s="9" t="str">
        <f t="shared" si="45"/>
        <v/>
      </c>
      <c r="Q50" s="85"/>
    </row>
    <row r="51" spans="2:18" x14ac:dyDescent="0.25">
      <c r="B51" s="247" t="s">
        <v>31</v>
      </c>
      <c r="C51" s="248"/>
      <c r="D51" s="87"/>
      <c r="E51" s="82"/>
      <c r="F51" s="82">
        <f>SUM(F47:F50)</f>
        <v>6900</v>
      </c>
      <c r="G51" s="87"/>
      <c r="H51" s="87"/>
      <c r="I51" s="82">
        <f>SUM(I47:I50)</f>
        <v>0</v>
      </c>
      <c r="J51" s="9" t="str">
        <f t="shared" si="24"/>
        <v/>
      </c>
      <c r="K51" s="87" t="s">
        <v>31</v>
      </c>
      <c r="L51" s="87"/>
      <c r="M51" s="70"/>
      <c r="N51" s="70"/>
      <c r="O51" s="122">
        <f>SUM(O47:O50)</f>
        <v>0</v>
      </c>
      <c r="P51" s="9" t="str">
        <f>IF(O51=0,"",IF(OR(O51-F51&gt;0,O51-F51&lt;0),(O51-F51)/F51,""))</f>
        <v/>
      </c>
      <c r="Q51" s="87" t="s">
        <v>31</v>
      </c>
    </row>
    <row r="52" spans="2:18" ht="30" x14ac:dyDescent="0.25">
      <c r="B52" s="126" t="s">
        <v>44</v>
      </c>
      <c r="C52" s="104" t="s">
        <v>169</v>
      </c>
      <c r="D52" s="97">
        <v>1</v>
      </c>
      <c r="E52" s="140">
        <f>IF($E$1&lt;=50,15000,25000)</f>
        <v>15000</v>
      </c>
      <c r="F52" s="99">
        <f>E52*D52</f>
        <v>15000</v>
      </c>
      <c r="H52" s="81"/>
      <c r="I52" s="99">
        <f t="shared" ref="I52" si="47">E52*H52</f>
        <v>0</v>
      </c>
      <c r="J52" s="9" t="str">
        <f t="shared" ref="J52" si="48">IF(I52=0,"",IF(OR(I52-F52&gt;0,I52-F52&lt;0),(I52-F52)/F52,""))</f>
        <v/>
      </c>
      <c r="K52" s="100" t="str">
        <f t="shared" ref="K52:K53" si="49">IF(H52&gt;D52,"נא להסביר חריגה כאן","")</f>
        <v/>
      </c>
      <c r="M52" s="85"/>
      <c r="N52" s="86" t="str">
        <f t="shared" ref="N52:N53" si="50">IF(ISBLANK(M52),"",IF(M52="מאשר",H52,"נא למלא כמות מאושרת"))</f>
        <v/>
      </c>
      <c r="O52" s="120" t="str">
        <f t="shared" ref="O52:O53" si="51">IFERROR(IF(M52="","",N52*E52),"")</f>
        <v/>
      </c>
      <c r="P52" s="9" t="str">
        <f t="shared" ref="P52:P53" si="52">IF(O52="","",IF(OR(O52-F52&gt;0,O52-F52&lt;0),(O52-F52)/F52,""))</f>
        <v/>
      </c>
      <c r="Q52" s="85"/>
      <c r="R52" s="217"/>
    </row>
    <row r="53" spans="2:18" ht="30" x14ac:dyDescent="0.25">
      <c r="B53" s="127"/>
      <c r="C53" s="106" t="s">
        <v>76</v>
      </c>
      <c r="D53" s="103">
        <v>1</v>
      </c>
      <c r="E53" s="93">
        <v>4000</v>
      </c>
      <c r="F53" s="92">
        <f>E53*D53</f>
        <v>4000</v>
      </c>
      <c r="G53" s="72"/>
      <c r="H53" s="81"/>
      <c r="I53" s="108">
        <f>E53*H53</f>
        <v>0</v>
      </c>
      <c r="J53" s="9" t="str">
        <f>IF(I53=0,"",IF(OR(I53-F53&gt;0,I53-F53&lt;0),(I53-F53)/F53,""))</f>
        <v/>
      </c>
      <c r="K53" s="94" t="str">
        <f t="shared" si="49"/>
        <v/>
      </c>
      <c r="M53" s="85"/>
      <c r="N53" s="86" t="str">
        <f t="shared" si="50"/>
        <v/>
      </c>
      <c r="O53" s="121" t="str">
        <f t="shared" si="51"/>
        <v/>
      </c>
      <c r="P53" s="9" t="str">
        <f t="shared" si="52"/>
        <v/>
      </c>
      <c r="Q53" s="95"/>
    </row>
    <row r="54" spans="2:18" ht="15.75" x14ac:dyDescent="0.25">
      <c r="B54" s="247" t="s">
        <v>45</v>
      </c>
      <c r="C54" s="248"/>
      <c r="D54" s="114"/>
      <c r="E54" s="115"/>
      <c r="F54" s="80">
        <f>SUM(F52:F53)</f>
        <v>19000</v>
      </c>
      <c r="H54" s="113"/>
      <c r="I54" s="80">
        <f>SUM(I52:I53)</f>
        <v>0</v>
      </c>
      <c r="J54" s="9" t="str">
        <f>IF(I54=0,"",IF(OR(I54-F54&gt;0,I54-F54&lt;0),(I54-F54)/F54,""))</f>
        <v/>
      </c>
      <c r="K54" s="87" t="s">
        <v>45</v>
      </c>
      <c r="M54" s="96"/>
      <c r="N54" s="96"/>
      <c r="O54" s="124">
        <f>SUM(O52:O53)</f>
        <v>0</v>
      </c>
      <c r="P54" s="9" t="str">
        <f>IF(O54=0,"",IF(OR(O54-F54&gt;0,O54-F54&lt;0),(O54-F54)/F54,""))</f>
        <v/>
      </c>
      <c r="Q54" s="87" t="s">
        <v>45</v>
      </c>
    </row>
    <row r="55" spans="2:18" ht="15.75" x14ac:dyDescent="0.25">
      <c r="B55" s="247" t="s">
        <v>4</v>
      </c>
      <c r="C55" s="248"/>
      <c r="D55" s="114"/>
      <c r="E55" s="115"/>
      <c r="F55" s="80">
        <f>F18+F22+F32+F39+F46+F51+F54</f>
        <v>132200</v>
      </c>
      <c r="H55" s="113" t="str">
        <f>IF(I55&lt;=F55,"תקין ","חריגה")</f>
        <v xml:space="preserve">תקין </v>
      </c>
      <c r="I55" s="80">
        <f>I18+I22+I32+I39+I46+I51+I54</f>
        <v>0</v>
      </c>
      <c r="J55" s="9" t="str">
        <f>IF(I55=0,"",IF(OR(I55-F55&gt;0,I55-F55&lt;0),(I55-F55)/F55,""))</f>
        <v/>
      </c>
      <c r="K55" s="87" t="str">
        <f>B55</f>
        <v>סה"כ</v>
      </c>
      <c r="M55" s="87"/>
      <c r="N55" s="70"/>
      <c r="O55" s="124">
        <f>O18+O22+O32+O39+O46+O51+O54</f>
        <v>0</v>
      </c>
      <c r="P55" s="9" t="str">
        <f>IF(O55=0,"",IF(OR(O55-F55&gt;0,O55-F55&lt;0),(O55-F55)/F55,""))</f>
        <v/>
      </c>
      <c r="Q55" s="87" t="str">
        <f>B55</f>
        <v>סה"כ</v>
      </c>
    </row>
    <row r="56" spans="2:18" x14ac:dyDescent="0.25">
      <c r="B56" s="69" t="s">
        <v>47</v>
      </c>
    </row>
    <row r="57" spans="2:18" x14ac:dyDescent="0.25">
      <c r="B57" s="109" t="s">
        <v>54</v>
      </c>
      <c r="C57" s="69" t="s">
        <v>62</v>
      </c>
    </row>
    <row r="58" spans="2:18" x14ac:dyDescent="0.25">
      <c r="B58" s="109"/>
      <c r="C58" s="69" t="s">
        <v>148</v>
      </c>
    </row>
    <row r="59" spans="2:18" x14ac:dyDescent="0.25">
      <c r="B59" s="109" t="s">
        <v>61</v>
      </c>
      <c r="C59" s="69" t="s">
        <v>136</v>
      </c>
    </row>
    <row r="60" spans="2:18" x14ac:dyDescent="0.25">
      <c r="C60" s="69" t="s">
        <v>149</v>
      </c>
    </row>
    <row r="61" spans="2:18" x14ac:dyDescent="0.25">
      <c r="C61" s="69" t="s">
        <v>137</v>
      </c>
    </row>
    <row r="62" spans="2:18" x14ac:dyDescent="0.25">
      <c r="E62" s="218"/>
      <c r="F62" s="218"/>
      <c r="G62" s="218"/>
      <c r="H62" s="218"/>
      <c r="I62" s="218"/>
      <c r="J62" s="218"/>
      <c r="K62" s="218"/>
    </row>
    <row r="63" spans="2:18" x14ac:dyDescent="0.25">
      <c r="C63" s="218"/>
    </row>
  </sheetData>
  <sheetProtection algorithmName="SHA-512" hashValue="4WcTsQsk99VTpfwiJWTokQJQ1OAKdE41Jn6chF+5tBWy9+0hw0WpSQpanNfQ22Oul0LUsaadAj32HdlL42rHvw==" saltValue="E/hPbhJOwU5EiNxIMHNj2w==" spinCount="100000" sheet="1" objects="1" scenarios="1"/>
  <mergeCells count="12">
    <mergeCell ref="B23:B31"/>
    <mergeCell ref="B33:B38"/>
    <mergeCell ref="B40:B45"/>
    <mergeCell ref="B7:B17"/>
    <mergeCell ref="B19:B21"/>
    <mergeCell ref="B55:C55"/>
    <mergeCell ref="B54:C54"/>
    <mergeCell ref="B46:C46"/>
    <mergeCell ref="B39:C39"/>
    <mergeCell ref="B32:C32"/>
    <mergeCell ref="B47:B50"/>
    <mergeCell ref="B51:C51"/>
  </mergeCells>
  <conditionalFormatting sqref="H55">
    <cfRule type="containsText" dxfId="37" priority="10" operator="containsText" text="חריגה">
      <formula>NOT(ISERROR(SEARCH("חריגה",H55)))</formula>
    </cfRule>
  </conditionalFormatting>
  <conditionalFormatting sqref="H54">
    <cfRule type="containsText" dxfId="36" priority="9" operator="containsText" text="חריגה">
      <formula>NOT(ISERROR(SEARCH("חריגה",H54)))</formula>
    </cfRule>
  </conditionalFormatting>
  <conditionalFormatting sqref="H46">
    <cfRule type="containsText" dxfId="35" priority="8" operator="containsText" text="חריגה">
      <formula>NOT(ISERROR(SEARCH("חריגה",H46)))</formula>
    </cfRule>
  </conditionalFormatting>
  <conditionalFormatting sqref="H39">
    <cfRule type="containsText" dxfId="34" priority="7" operator="containsText" text="חריגה">
      <formula>NOT(ISERROR(SEARCH("חריגה",H39)))</formula>
    </cfRule>
  </conditionalFormatting>
  <conditionalFormatting sqref="H32">
    <cfRule type="containsText" dxfId="33" priority="6" operator="containsText" text="חריגה">
      <formula>NOT(ISERROR(SEARCH("חריגה",H32)))</formula>
    </cfRule>
  </conditionalFormatting>
  <conditionalFormatting sqref="H22">
    <cfRule type="containsText" dxfId="32" priority="5" operator="containsText" text="חריגה">
      <formula>NOT(ISERROR(SEARCH("חריגה",H22)))</formula>
    </cfRule>
  </conditionalFormatting>
  <conditionalFormatting sqref="P7:P55">
    <cfRule type="cellIs" dxfId="31" priority="3" operator="greaterThan">
      <formula>0</formula>
    </cfRule>
    <cfRule type="cellIs" dxfId="30" priority="4" operator="greaterThan">
      <formula>""""""</formula>
    </cfRule>
  </conditionalFormatting>
  <conditionalFormatting sqref="J7:J55">
    <cfRule type="cellIs" dxfId="29" priority="1" operator="greaterThan">
      <formula>0</formula>
    </cfRule>
    <cfRule type="cellIs" dxfId="28" priority="2" operator="greaterThan">
      <formula>""""""</formula>
    </cfRule>
  </conditionalFormatting>
  <dataValidations count="2">
    <dataValidation type="whole" allowBlank="1" showInputMessage="1" showErrorMessage="1" error="נא לכתוב מספר בין 10 ל80" sqref="E1">
      <formula1>10</formula1>
      <formula2>80</formula2>
    </dataValidation>
    <dataValidation type="list" allowBlank="1" showInputMessage="1" showErrorMessage="1" sqref="M7:M17 M19:M21 M23:M31 M33:M38 M40:M45 M47:M50 M52:M53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rightToLeft="1" zoomScaleNormal="100" workbookViewId="0">
      <pane xSplit="4" ySplit="6" topLeftCell="E7" activePane="bottomRight" state="frozen"/>
      <selection activeCell="F16" sqref="F16"/>
      <selection pane="topRight" activeCell="F16" sqref="F16"/>
      <selection pane="bottomLeft" activeCell="F16" sqref="F16"/>
      <selection pane="bottomRight" activeCell="M8" sqref="M8"/>
    </sheetView>
  </sheetViews>
  <sheetFormatPr defaultColWidth="9" defaultRowHeight="14.25" x14ac:dyDescent="0.2"/>
  <cols>
    <col min="1" max="1" width="2" style="210" customWidth="1"/>
    <col min="2" max="2" width="9" style="210"/>
    <col min="3" max="3" width="24.75" style="210" customWidth="1"/>
    <col min="4" max="4" width="9" style="210"/>
    <col min="5" max="5" width="9" style="212"/>
    <col min="6" max="6" width="9" style="210"/>
    <col min="7" max="7" width="1.5" style="210" customWidth="1"/>
    <col min="8" max="10" width="9" style="210"/>
    <col min="11" max="11" width="14" style="210" customWidth="1"/>
    <col min="12" max="12" width="1.625" style="210" customWidth="1"/>
    <col min="13" max="13" width="10.375" style="210" customWidth="1"/>
    <col min="14" max="14" width="9" style="211"/>
    <col min="15" max="16" width="9" style="210"/>
    <col min="17" max="17" width="9.875" style="210" customWidth="1"/>
    <col min="18" max="18" width="13.625" style="210" customWidth="1"/>
    <col min="19" max="16384" width="9" style="210"/>
  </cols>
  <sheetData>
    <row r="1" spans="1:17" ht="15" x14ac:dyDescent="0.25">
      <c r="A1" s="2"/>
      <c r="B1" s="2" t="s">
        <v>152</v>
      </c>
      <c r="C1" s="2" t="str">
        <f>IF('שאלון למילוי מגיש הבקשה - חובה'!$G$7="","נא למלא שאלון למילוי מגיש הבקשה",'שאלון למילוי מגיש הבקשה - חובה'!$G$7)</f>
        <v>נא למלא שאלון למילוי מגיש הבקשה</v>
      </c>
      <c r="D1" s="2"/>
      <c r="E1" s="24">
        <f>'שאלון למילוי מגיש הבקשה - חובה'!G33</f>
        <v>0</v>
      </c>
      <c r="F1" s="2" t="str">
        <f>'ציוד כללי'!F1</f>
        <v>אנשים</v>
      </c>
      <c r="G1" s="2"/>
      <c r="H1" s="2" t="s">
        <v>78</v>
      </c>
      <c r="I1" s="2"/>
      <c r="J1" s="2"/>
      <c r="K1" s="2"/>
    </row>
    <row r="2" spans="1:17" ht="15" x14ac:dyDescent="0.25">
      <c r="A2" s="2"/>
      <c r="B2" s="2" t="s">
        <v>51</v>
      </c>
      <c r="C2" s="51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D2" s="2"/>
      <c r="E2" s="24">
        <f>'שאלון למילוי מגיש הבקשה - חובה'!G35</f>
        <v>0</v>
      </c>
      <c r="F2" s="2" t="s">
        <v>81</v>
      </c>
      <c r="G2" s="2"/>
      <c r="H2" s="2"/>
      <c r="I2" s="203"/>
      <c r="J2" s="2"/>
      <c r="K2" s="2"/>
    </row>
    <row r="3" spans="1:17" ht="15" x14ac:dyDescent="0.25">
      <c r="A3" s="2"/>
      <c r="B3" s="2" t="s">
        <v>72</v>
      </c>
      <c r="C3" s="14"/>
      <c r="D3" s="14"/>
      <c r="E3" s="24" t="str">
        <f>IF(E1&lt;51,"קטנה","גדולה")</f>
        <v>קטנה</v>
      </c>
      <c r="F3" s="43"/>
      <c r="G3" s="2"/>
      <c r="H3" s="2"/>
      <c r="I3" s="2"/>
      <c r="J3" s="2"/>
      <c r="K3" s="2"/>
    </row>
    <row r="4" spans="1:17" ht="15" x14ac:dyDescent="0.25">
      <c r="A4" s="2"/>
      <c r="B4" s="128" t="str">
        <f>'תוכן עיניינים'!B10</f>
        <v>מחשוב</v>
      </c>
      <c r="C4" s="128"/>
      <c r="D4" s="49"/>
      <c r="E4" s="24" t="str">
        <f>IF(E1&lt;=50,"10 - 50","51 - 100")</f>
        <v>10 - 50</v>
      </c>
      <c r="F4" s="2" t="s">
        <v>48</v>
      </c>
      <c r="G4" s="2"/>
      <c r="H4" s="2"/>
      <c r="I4" s="203"/>
      <c r="J4" s="2"/>
      <c r="K4" s="2"/>
    </row>
    <row r="5" spans="1:17" ht="15" x14ac:dyDescent="0.25">
      <c r="A5" s="2"/>
      <c r="B5" s="29"/>
      <c r="C5" s="30" t="s">
        <v>23</v>
      </c>
      <c r="D5" s="30"/>
      <c r="E5" s="30"/>
      <c r="F5" s="31"/>
      <c r="G5" s="2"/>
      <c r="H5" s="29"/>
      <c r="I5" s="30" t="s">
        <v>34</v>
      </c>
      <c r="J5" s="30"/>
      <c r="K5" s="31"/>
      <c r="L5" s="2"/>
      <c r="M5" s="29"/>
      <c r="N5" s="30"/>
      <c r="O5" s="30" t="s">
        <v>130</v>
      </c>
      <c r="P5" s="30"/>
      <c r="Q5" s="31"/>
    </row>
    <row r="6" spans="1:17" ht="45" x14ac:dyDescent="0.25">
      <c r="B6" s="35" t="s">
        <v>0</v>
      </c>
      <c r="C6" s="35" t="s">
        <v>24</v>
      </c>
      <c r="D6" s="35" t="s">
        <v>63</v>
      </c>
      <c r="E6" s="35" t="s">
        <v>212</v>
      </c>
      <c r="F6" s="35" t="s">
        <v>213</v>
      </c>
      <c r="G6" s="2"/>
      <c r="H6" s="35" t="s">
        <v>1</v>
      </c>
      <c r="I6" s="35" t="s">
        <v>32</v>
      </c>
      <c r="J6" s="35" t="s">
        <v>33</v>
      </c>
      <c r="K6" s="35" t="s">
        <v>128</v>
      </c>
      <c r="L6" s="2"/>
      <c r="M6" s="4" t="s">
        <v>218</v>
      </c>
      <c r="N6" s="35" t="s">
        <v>36</v>
      </c>
      <c r="O6" s="35" t="s">
        <v>37</v>
      </c>
      <c r="P6" s="35" t="s">
        <v>33</v>
      </c>
      <c r="Q6" s="35" t="s">
        <v>35</v>
      </c>
    </row>
    <row r="7" spans="1:17" ht="30" x14ac:dyDescent="0.25">
      <c r="B7" s="254" t="s">
        <v>80</v>
      </c>
      <c r="C7" s="23" t="s">
        <v>46</v>
      </c>
      <c r="D7" s="10">
        <v>1</v>
      </c>
      <c r="E7" s="15">
        <v>4000</v>
      </c>
      <c r="F7" s="15">
        <f t="shared" ref="F7:F12" si="0">E7*D7</f>
        <v>4000</v>
      </c>
      <c r="G7" s="2"/>
      <c r="H7" s="81"/>
      <c r="I7" s="8">
        <f t="shared" ref="I7:I12" si="1">E7*H7</f>
        <v>0</v>
      </c>
      <c r="J7" s="9" t="str">
        <f t="shared" ref="J7:J12" si="2">IF(I7=0,"",IF(OR(I7-F7&gt;0,I7-F7&lt;0),(I7-F7)/F7,""))</f>
        <v/>
      </c>
      <c r="K7" s="62" t="str">
        <f t="shared" ref="K7:K12" si="3">IF(H7&gt;D7,"נא להסביר חריגה כאן","")</f>
        <v/>
      </c>
      <c r="L7" s="2"/>
      <c r="M7" s="85"/>
      <c r="N7" s="86" t="str">
        <f t="shared" ref="N7:N12" si="4">IF(ISBLANK(M7),"",IF(M7="מאשר",H7,"נא למלא כמות מאושרת"))</f>
        <v/>
      </c>
      <c r="O7" s="8" t="str">
        <f t="shared" ref="O7:O12" si="5">IFERROR(IF(M7="","",N7*E7),"")</f>
        <v/>
      </c>
      <c r="P7" s="9" t="str">
        <f t="shared" ref="P7:P12" si="6">IF(O7="","",IF(OR(O7-F7&gt;0,O7-F7&lt;0),(O7-F7)/F7,""))</f>
        <v/>
      </c>
      <c r="Q7" s="13"/>
    </row>
    <row r="8" spans="1:17" ht="30" x14ac:dyDescent="0.25">
      <c r="B8" s="255"/>
      <c r="C8" s="23" t="s">
        <v>187</v>
      </c>
      <c r="D8" s="50">
        <f>IF($E$1&lt;=50,2,4)</f>
        <v>2</v>
      </c>
      <c r="E8" s="15">
        <v>5000</v>
      </c>
      <c r="F8" s="15">
        <f t="shared" si="0"/>
        <v>10000</v>
      </c>
      <c r="G8" s="2"/>
      <c r="H8" s="81"/>
      <c r="I8" s="8">
        <f t="shared" si="1"/>
        <v>0</v>
      </c>
      <c r="J8" s="9" t="str">
        <f t="shared" si="2"/>
        <v/>
      </c>
      <c r="K8" s="62" t="str">
        <f t="shared" si="3"/>
        <v/>
      </c>
      <c r="L8" s="2"/>
      <c r="M8" s="85"/>
      <c r="N8" s="86" t="str">
        <f t="shared" si="4"/>
        <v/>
      </c>
      <c r="O8" s="8" t="str">
        <f t="shared" si="5"/>
        <v/>
      </c>
      <c r="P8" s="9" t="str">
        <f t="shared" si="6"/>
        <v/>
      </c>
      <c r="Q8" s="13"/>
    </row>
    <row r="9" spans="1:17" ht="15" x14ac:dyDescent="0.25">
      <c r="B9" s="255"/>
      <c r="C9" s="23" t="s">
        <v>190</v>
      </c>
      <c r="D9" s="50">
        <f>IF($E$1&lt;=50,1,2)</f>
        <v>1</v>
      </c>
      <c r="E9" s="15">
        <v>1000</v>
      </c>
      <c r="F9" s="8">
        <f t="shared" si="0"/>
        <v>1000</v>
      </c>
      <c r="G9" s="2"/>
      <c r="H9" s="81"/>
      <c r="I9" s="8">
        <f t="shared" si="1"/>
        <v>0</v>
      </c>
      <c r="J9" s="9" t="str">
        <f t="shared" si="2"/>
        <v/>
      </c>
      <c r="K9" s="62" t="str">
        <f t="shared" si="3"/>
        <v/>
      </c>
      <c r="L9" s="2"/>
      <c r="M9" s="85"/>
      <c r="N9" s="86" t="str">
        <f t="shared" si="4"/>
        <v/>
      </c>
      <c r="O9" s="8" t="str">
        <f t="shared" si="5"/>
        <v/>
      </c>
      <c r="P9" s="9" t="str">
        <f t="shared" si="6"/>
        <v/>
      </c>
      <c r="Q9" s="13"/>
    </row>
    <row r="10" spans="1:17" ht="15" x14ac:dyDescent="0.25">
      <c r="B10" s="255"/>
      <c r="C10" s="23" t="s">
        <v>188</v>
      </c>
      <c r="D10" s="50">
        <f>IF($E$1&lt;=50,2,4)</f>
        <v>2</v>
      </c>
      <c r="E10" s="15">
        <v>1200</v>
      </c>
      <c r="F10" s="8">
        <f t="shared" si="0"/>
        <v>2400</v>
      </c>
      <c r="G10" s="2"/>
      <c r="H10" s="81"/>
      <c r="I10" s="8">
        <f t="shared" si="1"/>
        <v>0</v>
      </c>
      <c r="J10" s="9" t="str">
        <f t="shared" si="2"/>
        <v/>
      </c>
      <c r="K10" s="62" t="str">
        <f t="shared" si="3"/>
        <v/>
      </c>
      <c r="L10" s="2"/>
      <c r="M10" s="85"/>
      <c r="N10" s="86" t="str">
        <f t="shared" si="4"/>
        <v/>
      </c>
      <c r="O10" s="8" t="str">
        <f t="shared" si="5"/>
        <v/>
      </c>
      <c r="P10" s="9" t="str">
        <f t="shared" si="6"/>
        <v/>
      </c>
      <c r="Q10" s="13"/>
    </row>
    <row r="11" spans="1:17" ht="15" x14ac:dyDescent="0.25">
      <c r="B11" s="255"/>
      <c r="C11" s="23" t="s">
        <v>189</v>
      </c>
      <c r="D11" s="50">
        <f>IF($E$1&lt;=50,2,4)</f>
        <v>2</v>
      </c>
      <c r="E11" s="15">
        <v>500</v>
      </c>
      <c r="F11" s="54">
        <f>E11*D11</f>
        <v>1000</v>
      </c>
      <c r="G11" s="2"/>
      <c r="H11" s="81"/>
      <c r="I11" s="8">
        <f>E11*H11</f>
        <v>0</v>
      </c>
      <c r="J11" s="9" t="str">
        <f>IF(I11=0,"",IF(OR(I11-F11&gt;0,I11-F11&lt;0),(I11-F11)/F11,""))</f>
        <v/>
      </c>
      <c r="K11" s="62" t="str">
        <f t="shared" si="3"/>
        <v/>
      </c>
      <c r="L11" s="2"/>
      <c r="M11" s="85"/>
      <c r="N11" s="86" t="str">
        <f t="shared" si="4"/>
        <v/>
      </c>
      <c r="O11" s="8" t="str">
        <f t="shared" si="5"/>
        <v/>
      </c>
      <c r="P11" s="9" t="str">
        <f t="shared" si="6"/>
        <v/>
      </c>
      <c r="Q11" s="13"/>
    </row>
    <row r="12" spans="1:17" ht="15" x14ac:dyDescent="0.25">
      <c r="B12" s="255"/>
      <c r="C12" s="23" t="s">
        <v>8</v>
      </c>
      <c r="D12" s="10">
        <v>1</v>
      </c>
      <c r="E12" s="15">
        <v>1000</v>
      </c>
      <c r="F12" s="8">
        <f t="shared" si="0"/>
        <v>1000</v>
      </c>
      <c r="G12" s="2"/>
      <c r="H12" s="81"/>
      <c r="I12" s="8">
        <f t="shared" si="1"/>
        <v>0</v>
      </c>
      <c r="J12" s="9" t="str">
        <f t="shared" si="2"/>
        <v/>
      </c>
      <c r="K12" s="62" t="str">
        <f t="shared" si="3"/>
        <v/>
      </c>
      <c r="L12" s="2"/>
      <c r="M12" s="85"/>
      <c r="N12" s="86" t="str">
        <f t="shared" si="4"/>
        <v/>
      </c>
      <c r="O12" s="8" t="str">
        <f t="shared" si="5"/>
        <v/>
      </c>
      <c r="P12" s="9" t="str">
        <f t="shared" si="6"/>
        <v/>
      </c>
      <c r="Q12" s="13"/>
    </row>
    <row r="13" spans="1:17" ht="15" x14ac:dyDescent="0.25">
      <c r="B13" s="110" t="s">
        <v>90</v>
      </c>
      <c r="C13" s="111"/>
      <c r="D13" s="111"/>
      <c r="E13" s="112"/>
      <c r="F13" s="82">
        <f>SUM(F7:F12)</f>
        <v>19400</v>
      </c>
      <c r="G13" s="69"/>
      <c r="H13" s="87"/>
      <c r="I13" s="82">
        <f>SUM(I7:I12)</f>
        <v>0</v>
      </c>
      <c r="J13" s="83" t="str">
        <f>IF(I13=0,"",IF(OR(I13-F13&gt;0,I13-F13&lt;0),(I13-F13)/F13,""))</f>
        <v/>
      </c>
      <c r="K13" s="87" t="str">
        <f>B13</f>
        <v>סה"כ מיחשוב למסגרת</v>
      </c>
      <c r="L13" s="69"/>
      <c r="M13" s="70"/>
      <c r="N13" s="70"/>
      <c r="O13" s="8">
        <f>SUM(O7:O12)</f>
        <v>0</v>
      </c>
      <c r="P13" s="83" t="str">
        <f>IF(O13=0,"",IF(OR(O13-F13&gt;0,O13-F13&lt;0),(O13-F13)/F13,""))</f>
        <v/>
      </c>
      <c r="Q13" s="87" t="str">
        <f>B13</f>
        <v>סה"כ מיחשוב למסגרת</v>
      </c>
    </row>
    <row r="14" spans="1:17" ht="15.75" x14ac:dyDescent="0.25">
      <c r="B14" s="256" t="s">
        <v>79</v>
      </c>
      <c r="C14" s="23" t="s">
        <v>162</v>
      </c>
      <c r="D14" s="63">
        <v>8</v>
      </c>
      <c r="E14" s="15">
        <v>5000</v>
      </c>
      <c r="F14" s="15">
        <f>D14*E14</f>
        <v>40000</v>
      </c>
      <c r="G14" s="2"/>
      <c r="H14" s="81"/>
      <c r="I14" s="8">
        <f t="shared" ref="I14:I16" si="7">E14*H14</f>
        <v>0</v>
      </c>
      <c r="J14" s="9" t="str">
        <f>IF(I14=0,"",IF(OR(I14-F14&gt;0,I14-F14&lt;0),(I14-F14)/F14,""))</f>
        <v/>
      </c>
      <c r="K14" s="62" t="str">
        <f t="shared" ref="K14:K20" si="8">IF(H14&gt;D14,"נא להסביר חריגה כאן","")</f>
        <v/>
      </c>
      <c r="L14" s="2"/>
      <c r="M14" s="85"/>
      <c r="N14" s="86" t="str">
        <f t="shared" ref="N14:N20" si="9">IF(ISBLANK(M14),"",IF(M14="מאשר",H14,"נא למלא כמות מאושרת"))</f>
        <v/>
      </c>
      <c r="O14" s="8" t="str">
        <f t="shared" ref="O14:O20" si="10">IFERROR(IF(M14="","",N14*E14),"")</f>
        <v/>
      </c>
      <c r="P14" s="9" t="str">
        <f t="shared" ref="P14:P20" si="11">IF(O14="","",IF(OR(O14-F14&gt;0,O14-F14&lt;0),(O14-F14)/F14,""))</f>
        <v/>
      </c>
      <c r="Q14" s="13"/>
    </row>
    <row r="15" spans="1:17" ht="27.6" customHeight="1" x14ac:dyDescent="0.25">
      <c r="B15" s="257"/>
      <c r="C15" s="23" t="s">
        <v>7</v>
      </c>
      <c r="D15" s="63">
        <v>8</v>
      </c>
      <c r="E15" s="15">
        <v>1200</v>
      </c>
      <c r="F15" s="15">
        <f t="shared" ref="F15:F16" si="12">D15*E15</f>
        <v>9600</v>
      </c>
      <c r="G15" s="2"/>
      <c r="H15" s="81"/>
      <c r="I15" s="8">
        <f t="shared" si="7"/>
        <v>0</v>
      </c>
      <c r="J15" s="9" t="str">
        <f t="shared" ref="J15:J16" si="13">IF(I15=0,"",IF(OR(I15-F15&gt;0,I15-F15&lt;0),(I15-F15)/F15,""))</f>
        <v/>
      </c>
      <c r="K15" s="62" t="str">
        <f t="shared" si="8"/>
        <v/>
      </c>
      <c r="L15" s="2"/>
      <c r="M15" s="85"/>
      <c r="N15" s="86" t="str">
        <f t="shared" si="9"/>
        <v/>
      </c>
      <c r="O15" s="8" t="str">
        <f t="shared" si="10"/>
        <v/>
      </c>
      <c r="P15" s="9" t="str">
        <f t="shared" si="11"/>
        <v/>
      </c>
      <c r="Q15" s="13"/>
    </row>
    <row r="16" spans="1:17" ht="15.75" x14ac:dyDescent="0.25">
      <c r="B16" s="257"/>
      <c r="C16" s="64" t="s">
        <v>39</v>
      </c>
      <c r="D16" s="63">
        <v>8</v>
      </c>
      <c r="E16" s="15">
        <v>500</v>
      </c>
      <c r="F16" s="15">
        <f t="shared" si="12"/>
        <v>4000</v>
      </c>
      <c r="G16" s="2"/>
      <c r="H16" s="81"/>
      <c r="I16" s="8">
        <f t="shared" si="7"/>
        <v>0</v>
      </c>
      <c r="J16" s="9" t="str">
        <f t="shared" si="13"/>
        <v/>
      </c>
      <c r="K16" s="62" t="str">
        <f t="shared" si="8"/>
        <v/>
      </c>
      <c r="L16" s="2"/>
      <c r="M16" s="85"/>
      <c r="N16" s="86" t="str">
        <f t="shared" si="9"/>
        <v/>
      </c>
      <c r="O16" s="8" t="str">
        <f t="shared" si="10"/>
        <v/>
      </c>
      <c r="P16" s="9" t="str">
        <f t="shared" si="11"/>
        <v/>
      </c>
      <c r="Q16" s="13"/>
    </row>
    <row r="17" spans="2:17" ht="15.75" x14ac:dyDescent="0.25">
      <c r="B17" s="257"/>
      <c r="C17" s="64" t="s">
        <v>215</v>
      </c>
      <c r="D17" s="63">
        <v>8</v>
      </c>
      <c r="E17" s="15">
        <v>2500</v>
      </c>
      <c r="F17" s="8">
        <f>E17*D17</f>
        <v>20000</v>
      </c>
      <c r="G17" s="2"/>
      <c r="H17" s="81"/>
      <c r="I17" s="8">
        <f>E17*H17</f>
        <v>0</v>
      </c>
      <c r="J17" s="9" t="str">
        <f t="shared" ref="J17:J25" si="14">IF(I17=0,"",IF(OR(I17-F17&gt;0,I17-F17&lt;0),(I17-F17)/F17,""))</f>
        <v/>
      </c>
      <c r="K17" s="62" t="str">
        <f t="shared" si="8"/>
        <v/>
      </c>
      <c r="L17" s="2"/>
      <c r="M17" s="85"/>
      <c r="N17" s="86" t="str">
        <f t="shared" si="9"/>
        <v/>
      </c>
      <c r="O17" s="8" t="str">
        <f t="shared" si="10"/>
        <v/>
      </c>
      <c r="P17" s="9" t="str">
        <f t="shared" si="11"/>
        <v/>
      </c>
      <c r="Q17" s="13"/>
    </row>
    <row r="18" spans="2:17" ht="15" x14ac:dyDescent="0.25">
      <c r="B18" s="258"/>
      <c r="C18" s="23" t="s">
        <v>10</v>
      </c>
      <c r="D18" s="10">
        <v>1</v>
      </c>
      <c r="E18" s="15">
        <v>6000</v>
      </c>
      <c r="F18" s="15">
        <f>E18*D18</f>
        <v>6000</v>
      </c>
      <c r="G18" s="14"/>
      <c r="H18" s="81"/>
      <c r="I18" s="52">
        <f>E18*H18</f>
        <v>0</v>
      </c>
      <c r="J18" s="53" t="str">
        <f t="shared" si="14"/>
        <v/>
      </c>
      <c r="K18" s="62" t="str">
        <f t="shared" si="8"/>
        <v/>
      </c>
      <c r="L18" s="2"/>
      <c r="M18" s="85"/>
      <c r="N18" s="86" t="str">
        <f t="shared" si="9"/>
        <v/>
      </c>
      <c r="O18" s="8" t="str">
        <f t="shared" si="10"/>
        <v/>
      </c>
      <c r="P18" s="9" t="str">
        <f t="shared" si="11"/>
        <v/>
      </c>
      <c r="Q18" s="13"/>
    </row>
    <row r="19" spans="2:17" ht="15" x14ac:dyDescent="0.25">
      <c r="B19" s="258"/>
      <c r="C19" s="23" t="s">
        <v>83</v>
      </c>
      <c r="D19" s="34">
        <v>1</v>
      </c>
      <c r="E19" s="15">
        <v>1000</v>
      </c>
      <c r="F19" s="15">
        <f>E19*D19</f>
        <v>1000</v>
      </c>
      <c r="G19" s="14"/>
      <c r="H19" s="81"/>
      <c r="I19" s="52">
        <f>E19*H19</f>
        <v>0</v>
      </c>
      <c r="J19" s="9" t="str">
        <f t="shared" si="14"/>
        <v/>
      </c>
      <c r="K19" s="62" t="str">
        <f t="shared" si="8"/>
        <v/>
      </c>
      <c r="L19" s="2"/>
      <c r="M19" s="85"/>
      <c r="N19" s="86" t="str">
        <f t="shared" si="9"/>
        <v/>
      </c>
      <c r="O19" s="8" t="str">
        <f t="shared" si="10"/>
        <v/>
      </c>
      <c r="P19" s="9" t="str">
        <f t="shared" si="11"/>
        <v/>
      </c>
      <c r="Q19" s="13"/>
    </row>
    <row r="20" spans="2:17" ht="15" x14ac:dyDescent="0.25">
      <c r="B20" s="258"/>
      <c r="C20" s="23" t="s">
        <v>84</v>
      </c>
      <c r="D20" s="34">
        <v>1</v>
      </c>
      <c r="E20" s="15">
        <v>800</v>
      </c>
      <c r="F20" s="15">
        <f>E20*D20</f>
        <v>800</v>
      </c>
      <c r="G20" s="14"/>
      <c r="H20" s="81"/>
      <c r="I20" s="52">
        <f>E20*H20</f>
        <v>0</v>
      </c>
      <c r="J20" s="9" t="str">
        <f t="shared" si="14"/>
        <v/>
      </c>
      <c r="K20" s="62" t="str">
        <f t="shared" si="8"/>
        <v/>
      </c>
      <c r="L20" s="2"/>
      <c r="M20" s="85"/>
      <c r="N20" s="86" t="str">
        <f t="shared" si="9"/>
        <v/>
      </c>
      <c r="O20" s="8" t="str">
        <f t="shared" si="10"/>
        <v/>
      </c>
      <c r="P20" s="9" t="str">
        <f t="shared" si="11"/>
        <v/>
      </c>
      <c r="Q20" s="13"/>
    </row>
    <row r="21" spans="2:17" ht="15" x14ac:dyDescent="0.25">
      <c r="B21" s="110" t="s">
        <v>119</v>
      </c>
      <c r="C21" s="111"/>
      <c r="D21" s="111"/>
      <c r="E21" s="112"/>
      <c r="F21" s="82">
        <f>SUM(F14:F20)</f>
        <v>81400</v>
      </c>
      <c r="G21" s="69"/>
      <c r="H21" s="87"/>
      <c r="I21" s="82">
        <f>SUM(I14:I20)</f>
        <v>0</v>
      </c>
      <c r="J21" s="9" t="str">
        <f t="shared" si="14"/>
        <v/>
      </c>
      <c r="K21" s="87" t="str">
        <f>B21</f>
        <v>סה"כ מיחשוב לחוג מחשבים</v>
      </c>
      <c r="L21" s="69"/>
      <c r="M21" s="70"/>
      <c r="N21" s="70"/>
      <c r="O21" s="8">
        <f>SUM(O14:O20)</f>
        <v>0</v>
      </c>
      <c r="P21" s="9" t="str">
        <f>IF(O21=0,"",IF(OR(O21-F21&gt;0,O21-F21&lt;0),(O21-F21)/F21,""))</f>
        <v/>
      </c>
      <c r="Q21" s="87" t="str">
        <f>B21</f>
        <v>סה"כ מיחשוב לחוג מחשבים</v>
      </c>
    </row>
    <row r="22" spans="2:17" ht="15" x14ac:dyDescent="0.25">
      <c r="B22" s="253" t="s">
        <v>121</v>
      </c>
      <c r="C22" s="23" t="s">
        <v>11</v>
      </c>
      <c r="D22" s="34">
        <v>1</v>
      </c>
      <c r="E22" s="15">
        <v>1000</v>
      </c>
      <c r="F22" s="15">
        <f>E22*D22</f>
        <v>1000</v>
      </c>
      <c r="G22" s="14"/>
      <c r="H22" s="81"/>
      <c r="I22" s="52">
        <f>E22*H22</f>
        <v>0</v>
      </c>
      <c r="J22" s="9" t="str">
        <f t="shared" si="14"/>
        <v/>
      </c>
      <c r="K22" s="62" t="str">
        <f>IF(H22&gt;D22,"נא להסביר חריגה כאן","")</f>
        <v/>
      </c>
      <c r="L22" s="2"/>
      <c r="M22" s="85"/>
      <c r="N22" s="86" t="str">
        <f t="shared" ref="N22:N23" si="15">IF(ISBLANK(M22),"",IF(M22="מאשר",H22,"נא למלא כמות מאושרת"))</f>
        <v/>
      </c>
      <c r="O22" s="8" t="str">
        <f>IFERROR(IF(M22="","",N22*E22),"")</f>
        <v/>
      </c>
      <c r="P22" s="9" t="str">
        <f>IF(O22="","",IF(OR(O22-F22&gt;0,O22-F22&lt;0),(O22-F22)/F22,""))</f>
        <v/>
      </c>
      <c r="Q22" s="13"/>
    </row>
    <row r="23" spans="2:17" ht="15" x14ac:dyDescent="0.25">
      <c r="B23" s="253"/>
      <c r="C23" s="23" t="s">
        <v>12</v>
      </c>
      <c r="D23" s="34">
        <v>1</v>
      </c>
      <c r="E23" s="15">
        <v>2500</v>
      </c>
      <c r="F23" s="15">
        <f>E23*D23</f>
        <v>2500</v>
      </c>
      <c r="G23" s="14"/>
      <c r="H23" s="81"/>
      <c r="I23" s="52">
        <f>E23*H23</f>
        <v>0</v>
      </c>
      <c r="J23" s="9" t="str">
        <f t="shared" si="14"/>
        <v/>
      </c>
      <c r="K23" s="62" t="str">
        <f>IF(H23&gt;D23,"נא להסביר חריגה כאן","")</f>
        <v/>
      </c>
      <c r="L23" s="2"/>
      <c r="M23" s="85"/>
      <c r="N23" s="86" t="str">
        <f t="shared" si="15"/>
        <v/>
      </c>
      <c r="O23" s="8" t="str">
        <f>IFERROR(IF(M23="","",N23*E23),"")</f>
        <v/>
      </c>
      <c r="P23" s="9" t="str">
        <f>IF(O23="","",IF(OR(O23-F23&gt;0,O23-F23&lt;0),(O23-F23)/F23,""))</f>
        <v/>
      </c>
      <c r="Q23" s="13"/>
    </row>
    <row r="24" spans="2:17" ht="15" x14ac:dyDescent="0.25">
      <c r="B24" s="110" t="s">
        <v>227</v>
      </c>
      <c r="C24" s="111"/>
      <c r="D24" s="111"/>
      <c r="E24" s="112"/>
      <c r="F24" s="82">
        <f>SUM(F22:F23)</f>
        <v>3500</v>
      </c>
      <c r="G24" s="69"/>
      <c r="H24" s="113"/>
      <c r="I24" s="82">
        <f>SUM(I22:I23)</f>
        <v>0</v>
      </c>
      <c r="J24" s="9" t="str">
        <f t="shared" si="14"/>
        <v/>
      </c>
      <c r="K24" s="87" t="str">
        <f>B24</f>
        <v>סה"כ תוכנות מיוחדות</v>
      </c>
      <c r="L24" s="69"/>
      <c r="M24" s="70"/>
      <c r="N24" s="70"/>
      <c r="O24" s="82">
        <f>SUM(O22:O23)</f>
        <v>0</v>
      </c>
      <c r="P24" s="9" t="str">
        <f>IF(O24=0,"",IF(OR(O24-F24&gt;0,O24-F24&lt;0),(O24-F24)/F24,""))</f>
        <v/>
      </c>
      <c r="Q24" s="87" t="str">
        <f>B24</f>
        <v>סה"כ תוכנות מיוחדות</v>
      </c>
    </row>
    <row r="25" spans="2:17" ht="15.75" x14ac:dyDescent="0.25">
      <c r="B25" s="247" t="s">
        <v>120</v>
      </c>
      <c r="C25" s="248"/>
      <c r="D25" s="114"/>
      <c r="E25" s="115"/>
      <c r="F25" s="80">
        <f>F13+F21+F24</f>
        <v>104300</v>
      </c>
      <c r="G25" s="69"/>
      <c r="H25" s="113" t="str">
        <f>IF(I25&lt;=F25,"תקין ","חריגה")</f>
        <v xml:space="preserve">תקין </v>
      </c>
      <c r="I25" s="80">
        <f>I13+I21+I24</f>
        <v>0</v>
      </c>
      <c r="J25" s="9" t="str">
        <f t="shared" si="14"/>
        <v/>
      </c>
      <c r="K25" s="87" t="str">
        <f>B25</f>
        <v>סה"כ מחשבים</v>
      </c>
      <c r="L25" s="69"/>
      <c r="M25" s="87"/>
      <c r="N25" s="70"/>
      <c r="O25" s="80">
        <f>O13+O21+O24</f>
        <v>0</v>
      </c>
      <c r="P25" s="9" t="str">
        <f>IF(O25=0,"",IF(OR(O25-F25&gt;0,O25-F25&lt;0),(O25-F25)/F25,""))</f>
        <v/>
      </c>
      <c r="Q25" s="87" t="str">
        <f>B25</f>
        <v>סה"כ מחשבים</v>
      </c>
    </row>
  </sheetData>
  <sheetProtection algorithmName="SHA-512" hashValue="xBbSvP9zWUBXxIjfvjGeArCRvLRbiAlk9FnAoTxU+DJlzh+U+6lhQPNXLzTJTd3JJDDaP8IdUps8rrfpWlDEEg==" saltValue="4EFM8+oSQ1+Qu5vp1iv53w==" spinCount="100000" sheet="1" objects="1" scenarios="1"/>
  <mergeCells count="4">
    <mergeCell ref="B25:C25"/>
    <mergeCell ref="B22:B23"/>
    <mergeCell ref="B7:B12"/>
    <mergeCell ref="B14:B20"/>
  </mergeCells>
  <conditionalFormatting sqref="H25">
    <cfRule type="containsText" dxfId="27" priority="6" operator="containsText" text="חריגה">
      <formula>NOT(ISERROR(SEARCH("חריגה",H25)))</formula>
    </cfRule>
  </conditionalFormatting>
  <conditionalFormatting sqref="H24">
    <cfRule type="containsText" dxfId="26" priority="5" operator="containsText" text="חריגה">
      <formula>NOT(ISERROR(SEARCH("חריגה",H24)))</formula>
    </cfRule>
  </conditionalFormatting>
  <conditionalFormatting sqref="P19:P25">
    <cfRule type="cellIs" dxfId="25" priority="3" operator="greaterThan">
      <formula>0</formula>
    </cfRule>
    <cfRule type="cellIs" dxfId="24" priority="4" operator="greaterThan">
      <formula>""""""</formula>
    </cfRule>
  </conditionalFormatting>
  <conditionalFormatting sqref="J19:J25">
    <cfRule type="cellIs" dxfId="23" priority="1" operator="greaterThan">
      <formula>0</formula>
    </cfRule>
    <cfRule type="cellIs" dxfId="22" priority="2" operator="greaterThan">
      <formula>""""""</formula>
    </cfRule>
  </conditionalFormatting>
  <dataValidations count="2">
    <dataValidation type="whole" allowBlank="1" showInputMessage="1" showErrorMessage="1" error="נא לכתוב מספר בין 10 ל80" sqref="E1">
      <formula1>10</formula1>
      <formula2>80</formula2>
    </dataValidation>
    <dataValidation type="list" allowBlank="1" showInputMessage="1" showErrorMessage="1" sqref="M7:M12 M14:M20 M22:M23 M25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Q20"/>
  <sheetViews>
    <sheetView rightToLeft="1" zoomScaleNormal="100" workbookViewId="0">
      <pane xSplit="4" ySplit="6" topLeftCell="E7" activePane="bottomRight" state="frozen"/>
      <selection activeCell="F16" sqref="F16"/>
      <selection pane="topRight" activeCell="F16" sqref="F16"/>
      <selection pane="bottomLeft" activeCell="F16" sqref="F16"/>
      <selection pane="bottomRight"/>
    </sheetView>
  </sheetViews>
  <sheetFormatPr defaultColWidth="9" defaultRowHeight="15" x14ac:dyDescent="0.25"/>
  <cols>
    <col min="1" max="1" width="2.375" style="2" customWidth="1"/>
    <col min="2" max="2" width="11.75" style="2" customWidth="1"/>
    <col min="3" max="3" width="37" style="2" customWidth="1"/>
    <col min="4" max="4" width="8.375" style="14" customWidth="1"/>
    <col min="5" max="5" width="10.625" style="2" customWidth="1"/>
    <col min="6" max="6" width="9.25" style="2" customWidth="1"/>
    <col min="7" max="7" width="2" style="2" customWidth="1"/>
    <col min="8" max="8" width="7.125" style="2" customWidth="1"/>
    <col min="9" max="9" width="11.75" style="2" customWidth="1"/>
    <col min="10" max="10" width="10.375" style="2" customWidth="1"/>
    <col min="11" max="11" width="14.125" style="2" customWidth="1"/>
    <col min="12" max="12" width="1.5" style="2" customWidth="1"/>
    <col min="13" max="13" width="9" style="2"/>
    <col min="14" max="14" width="7.875" style="202" customWidth="1"/>
    <col min="15" max="15" width="9.75" style="2" customWidth="1"/>
    <col min="16" max="16" width="12.125" style="2" customWidth="1"/>
    <col min="17" max="17" width="10.375" style="2" customWidth="1"/>
    <col min="18" max="16384" width="9" style="2"/>
  </cols>
  <sheetData>
    <row r="1" spans="2:17" x14ac:dyDescent="0.25">
      <c r="B1" s="2" t="s">
        <v>152</v>
      </c>
      <c r="C1" s="2" t="str">
        <f>IF('שאלון למילוי מגיש הבקשה - חובה'!$G$7="","נא למלא שאלון למילוי מגיש הבקשה",'שאלון למילוי מגיש הבקשה - חובה'!$G$7)</f>
        <v>נא למלא שאלון למילוי מגיש הבקשה</v>
      </c>
      <c r="D1" s="2"/>
      <c r="E1" s="24">
        <f>'שאלון למילוי מגיש הבקשה - חובה'!G33</f>
        <v>0</v>
      </c>
      <c r="F1" s="2" t="str">
        <f>'ציוד כללי'!F1</f>
        <v>אנשים</v>
      </c>
      <c r="H1" s="2" t="s">
        <v>78</v>
      </c>
    </row>
    <row r="2" spans="2:17" x14ac:dyDescent="0.25">
      <c r="B2" s="2" t="s">
        <v>51</v>
      </c>
      <c r="C2" s="25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D2" s="2"/>
      <c r="E2" s="24">
        <f>'שאלון למילוי מגיש הבקשה - חובה'!G35</f>
        <v>0</v>
      </c>
      <c r="F2" s="2" t="s">
        <v>81</v>
      </c>
      <c r="I2" s="203"/>
    </row>
    <row r="3" spans="2:17" x14ac:dyDescent="0.25">
      <c r="B3" s="2" t="s">
        <v>72</v>
      </c>
      <c r="C3" s="26"/>
      <c r="D3" s="26"/>
      <c r="E3" s="24" t="str">
        <f>IF(E1&lt;51,"קטנה","גדולה")</f>
        <v>קטנה</v>
      </c>
      <c r="F3" s="43"/>
      <c r="I3" s="203"/>
    </row>
    <row r="4" spans="2:17" x14ac:dyDescent="0.25">
      <c r="B4" s="27" t="str">
        <f>'תוכן עיניינים'!B11</f>
        <v>מתקני כושר לחצר</v>
      </c>
      <c r="C4" s="27"/>
      <c r="D4" s="28"/>
      <c r="E4" s="24" t="str">
        <f>IF(E1&lt;=50,"10 - 50","51 - 100")</f>
        <v>10 - 50</v>
      </c>
      <c r="F4" s="2" t="s">
        <v>48</v>
      </c>
      <c r="I4" s="203"/>
    </row>
    <row r="5" spans="2:17" x14ac:dyDescent="0.25">
      <c r="B5" s="29"/>
      <c r="C5" s="30" t="s">
        <v>23</v>
      </c>
      <c r="D5" s="30"/>
      <c r="E5" s="30"/>
      <c r="F5" s="31"/>
      <c r="H5" s="29"/>
      <c r="I5" s="30" t="s">
        <v>34</v>
      </c>
      <c r="J5" s="30"/>
      <c r="K5" s="31"/>
      <c r="M5" s="29"/>
      <c r="N5" s="30"/>
      <c r="O5" s="30" t="s">
        <v>130</v>
      </c>
      <c r="P5" s="30"/>
      <c r="Q5" s="31"/>
    </row>
    <row r="6" spans="2:17" ht="45" x14ac:dyDescent="0.25">
      <c r="B6" s="35" t="s">
        <v>0</v>
      </c>
      <c r="C6" s="35" t="s">
        <v>24</v>
      </c>
      <c r="D6" s="35" t="s">
        <v>63</v>
      </c>
      <c r="E6" s="35" t="s">
        <v>212</v>
      </c>
      <c r="F6" s="35" t="s">
        <v>213</v>
      </c>
      <c r="H6" s="35" t="s">
        <v>1</v>
      </c>
      <c r="I6" s="35" t="s">
        <v>32</v>
      </c>
      <c r="J6" s="35" t="s">
        <v>33</v>
      </c>
      <c r="K6" s="35" t="s">
        <v>128</v>
      </c>
      <c r="M6" s="4" t="s">
        <v>218</v>
      </c>
      <c r="N6" s="35" t="s">
        <v>36</v>
      </c>
      <c r="O6" s="35" t="s">
        <v>37</v>
      </c>
      <c r="P6" s="35" t="s">
        <v>33</v>
      </c>
      <c r="Q6" s="35" t="s">
        <v>35</v>
      </c>
    </row>
    <row r="7" spans="2:17" ht="15.75" x14ac:dyDescent="0.25">
      <c r="B7" s="44"/>
      <c r="C7" s="61" t="s">
        <v>132</v>
      </c>
      <c r="D7" s="33">
        <v>1</v>
      </c>
      <c r="E7" s="15">
        <v>15000</v>
      </c>
      <c r="F7" s="15">
        <f t="shared" ref="F7:F10" si="0">D7*E7</f>
        <v>15000</v>
      </c>
      <c r="H7" s="12"/>
      <c r="I7" s="8">
        <f>E7*H7</f>
        <v>0</v>
      </c>
      <c r="J7" s="9" t="str">
        <f t="shared" ref="J7:J14" si="1">IF(I7=0,"",IF(OR(I7-F7&gt;0,I7-F7&lt;0),(I7-F7)/F7,""))</f>
        <v/>
      </c>
      <c r="K7" s="62" t="str">
        <f>IF(H7&gt;D7,"נא להסביר חריגה כאן","")</f>
        <v/>
      </c>
      <c r="M7" s="85"/>
      <c r="N7" s="86" t="str">
        <f t="shared" ref="N7:N13" si="2">IF(ISBLANK(M7),"",IF(M7="מאשר",H7,"נא למלא כמות מאושרת"))</f>
        <v/>
      </c>
      <c r="O7" s="8" t="str">
        <f t="shared" ref="O7:O13" si="3">IFERROR(IF(M7="","",N7*E7),"")</f>
        <v/>
      </c>
      <c r="P7" s="9" t="str">
        <f t="shared" ref="P7:P13" si="4">IF(O7="","",IF(OR(O7-F7&gt;0,O7-F7&lt;0),(O7-F7)/F7,""))</f>
        <v/>
      </c>
      <c r="Q7" s="13"/>
    </row>
    <row r="8" spans="2:17" ht="15.75" x14ac:dyDescent="0.25">
      <c r="B8" s="45"/>
      <c r="C8" s="61" t="s">
        <v>13</v>
      </c>
      <c r="D8" s="33">
        <v>1</v>
      </c>
      <c r="E8" s="15">
        <v>15000</v>
      </c>
      <c r="F8" s="15">
        <f t="shared" si="0"/>
        <v>15000</v>
      </c>
      <c r="H8" s="12"/>
      <c r="I8" s="8">
        <f>E8*H8</f>
        <v>0</v>
      </c>
      <c r="J8" s="9" t="str">
        <f t="shared" si="1"/>
        <v/>
      </c>
      <c r="K8" s="62" t="str">
        <f>IF(H8&gt;D8,"נא להסביר חריגה כאן","")</f>
        <v/>
      </c>
      <c r="M8" s="85"/>
      <c r="N8" s="86" t="str">
        <f t="shared" si="2"/>
        <v/>
      </c>
      <c r="O8" s="8" t="str">
        <f t="shared" si="3"/>
        <v/>
      </c>
      <c r="P8" s="9" t="str">
        <f t="shared" si="4"/>
        <v/>
      </c>
      <c r="Q8" s="13"/>
    </row>
    <row r="9" spans="2:17" ht="30" x14ac:dyDescent="0.25">
      <c r="B9" s="45" t="s">
        <v>131</v>
      </c>
      <c r="C9" s="61" t="s">
        <v>138</v>
      </c>
      <c r="D9" s="33">
        <v>1</v>
      </c>
      <c r="E9" s="15">
        <v>15000</v>
      </c>
      <c r="F9" s="15">
        <f t="shared" si="0"/>
        <v>15000</v>
      </c>
      <c r="H9" s="12"/>
      <c r="I9" s="8">
        <f t="shared" ref="I9:I10" si="5">E9*H9</f>
        <v>0</v>
      </c>
      <c r="J9" s="9" t="str">
        <f t="shared" si="1"/>
        <v/>
      </c>
      <c r="K9" s="62" t="str">
        <f>IF(H9&gt;D9,"נא להסביר חריגה כאן","")</f>
        <v/>
      </c>
      <c r="M9" s="85"/>
      <c r="N9" s="86" t="str">
        <f t="shared" si="2"/>
        <v/>
      </c>
      <c r="O9" s="8" t="str">
        <f t="shared" si="3"/>
        <v/>
      </c>
      <c r="P9" s="9" t="str">
        <f t="shared" si="4"/>
        <v/>
      </c>
      <c r="Q9" s="13"/>
    </row>
    <row r="10" spans="2:17" ht="13.5" customHeight="1" x14ac:dyDescent="0.25">
      <c r="B10" s="45"/>
      <c r="C10" s="61" t="s">
        <v>14</v>
      </c>
      <c r="D10" s="33">
        <v>1</v>
      </c>
      <c r="E10" s="15">
        <v>18000</v>
      </c>
      <c r="F10" s="15">
        <f t="shared" si="0"/>
        <v>18000</v>
      </c>
      <c r="H10" s="12"/>
      <c r="I10" s="8">
        <f t="shared" si="5"/>
        <v>0</v>
      </c>
      <c r="J10" s="9" t="str">
        <f t="shared" si="1"/>
        <v/>
      </c>
      <c r="K10" s="62" t="str">
        <f>IF(H10&gt;D10,"נא להסביר חריגה כאן","")</f>
        <v/>
      </c>
      <c r="M10" s="85"/>
      <c r="N10" s="86" t="str">
        <f t="shared" si="2"/>
        <v/>
      </c>
      <c r="O10" s="8" t="str">
        <f t="shared" si="3"/>
        <v/>
      </c>
      <c r="P10" s="9" t="str">
        <f t="shared" si="4"/>
        <v/>
      </c>
      <c r="Q10" s="13"/>
    </row>
    <row r="11" spans="2:17" ht="15.75" x14ac:dyDescent="0.25">
      <c r="B11" s="45"/>
      <c r="C11" s="61" t="s">
        <v>15</v>
      </c>
      <c r="D11" s="33">
        <v>1</v>
      </c>
      <c r="E11" s="15">
        <v>18000</v>
      </c>
      <c r="F11" s="15">
        <f t="shared" ref="F11" si="6">D11*E11</f>
        <v>18000</v>
      </c>
      <c r="H11" s="12"/>
      <c r="I11" s="8">
        <f t="shared" ref="I11:I13" si="7">E11*H11</f>
        <v>0</v>
      </c>
      <c r="J11" s="9" t="str">
        <f t="shared" ref="J11:J12" si="8">IF(I11=0,"",IF(OR(I11-F11&gt;0,I11-F11&lt;0),(I11-F11)/F11,""))</f>
        <v/>
      </c>
      <c r="K11" s="62" t="str">
        <f>IF(H11&gt;D11,"נא להסביר חריגה כאן","")</f>
        <v/>
      </c>
      <c r="M11" s="85"/>
      <c r="N11" s="86" t="str">
        <f t="shared" si="2"/>
        <v/>
      </c>
      <c r="O11" s="8" t="str">
        <f t="shared" si="3"/>
        <v/>
      </c>
      <c r="P11" s="9" t="str">
        <f t="shared" si="4"/>
        <v/>
      </c>
      <c r="Q11" s="13"/>
    </row>
    <row r="12" spans="2:17" ht="30" x14ac:dyDescent="0.25">
      <c r="B12" s="45"/>
      <c r="C12" s="61" t="s">
        <v>200</v>
      </c>
      <c r="D12" s="3">
        <f t="shared" ref="D12" si="9">IF($E$1&lt;=50,1,2)</f>
        <v>1</v>
      </c>
      <c r="E12" s="15">
        <v>18000</v>
      </c>
      <c r="F12" s="15">
        <f t="shared" ref="F12" si="10">D12*E12</f>
        <v>18000</v>
      </c>
      <c r="H12" s="12"/>
      <c r="I12" s="47">
        <f t="shared" si="7"/>
        <v>0</v>
      </c>
      <c r="J12" s="9" t="str">
        <f t="shared" si="8"/>
        <v/>
      </c>
      <c r="K12" s="62"/>
      <c r="M12" s="85"/>
      <c r="N12" s="86" t="str">
        <f t="shared" si="2"/>
        <v/>
      </c>
      <c r="O12" s="8" t="str">
        <f t="shared" si="3"/>
        <v/>
      </c>
      <c r="P12" s="9" t="str">
        <f t="shared" si="4"/>
        <v/>
      </c>
      <c r="Q12" s="13"/>
    </row>
    <row r="13" spans="2:17" ht="30" x14ac:dyDescent="0.25">
      <c r="B13" s="46"/>
      <c r="C13" s="35" t="s">
        <v>186</v>
      </c>
      <c r="D13" s="50">
        <f>IF($E$1&lt;=50,50,100)</f>
        <v>50</v>
      </c>
      <c r="E13" s="15">
        <v>300</v>
      </c>
      <c r="F13" s="8">
        <f t="shared" ref="F13" si="11">E13*D13</f>
        <v>15000</v>
      </c>
      <c r="H13" s="12"/>
      <c r="I13" s="47">
        <f t="shared" si="7"/>
        <v>0</v>
      </c>
      <c r="J13" s="9"/>
      <c r="K13" s="62" t="str">
        <f>IF(H13&gt;D13,"נא להסביר חריגה כאן","")</f>
        <v/>
      </c>
      <c r="M13" s="85"/>
      <c r="N13" s="86" t="str">
        <f t="shared" si="2"/>
        <v/>
      </c>
      <c r="O13" s="8" t="str">
        <f t="shared" si="3"/>
        <v/>
      </c>
      <c r="P13" s="9" t="str">
        <f t="shared" si="4"/>
        <v/>
      </c>
      <c r="Q13" s="13"/>
    </row>
    <row r="14" spans="2:17" ht="15.75" x14ac:dyDescent="0.25">
      <c r="B14" s="32" t="s">
        <v>93</v>
      </c>
      <c r="C14" s="61"/>
      <c r="D14" s="5"/>
      <c r="E14" s="6"/>
      <c r="F14" s="7">
        <f>SUM(F7:F13)</f>
        <v>114000</v>
      </c>
      <c r="H14" s="113" t="str">
        <f>IF(I14&lt;=F14,"תקין ","חריגה")</f>
        <v xml:space="preserve">תקין </v>
      </c>
      <c r="I14" s="7">
        <f>SUM(I7:I13)</f>
        <v>0</v>
      </c>
      <c r="J14" s="9" t="str">
        <f t="shared" si="1"/>
        <v/>
      </c>
      <c r="K14" s="10" t="str">
        <f>B14</f>
        <v xml:space="preserve">תקציב למתקני חצר בוגרים </v>
      </c>
      <c r="L14" s="48"/>
      <c r="M14" s="24"/>
      <c r="N14" s="24"/>
      <c r="O14" s="7">
        <f>SUM(O7:O13)</f>
        <v>0</v>
      </c>
      <c r="P14" s="9" t="str">
        <f t="shared" ref="P14" si="12">IF(O14=0,"",IF(OR(O14-F14&gt;0,O14-F14&lt;0),(O14-F14)/F14,""))</f>
        <v/>
      </c>
      <c r="Q14" s="10" t="str">
        <f>B14</f>
        <v xml:space="preserve">תקציב למתקני חצר בוגרים </v>
      </c>
    </row>
    <row r="15" spans="2:17" x14ac:dyDescent="0.25">
      <c r="B15" s="2" t="s">
        <v>47</v>
      </c>
    </row>
    <row r="16" spans="2:17" x14ac:dyDescent="0.25">
      <c r="B16" s="48"/>
      <c r="C16" s="207" t="s">
        <v>103</v>
      </c>
      <c r="D16" s="42"/>
      <c r="E16" s="48"/>
      <c r="F16" s="48"/>
    </row>
    <row r="17" spans="2:6" x14ac:dyDescent="0.25">
      <c r="B17" s="48"/>
      <c r="C17" s="207" t="s">
        <v>202</v>
      </c>
      <c r="D17" s="42"/>
      <c r="E17" s="48"/>
      <c r="F17" s="48"/>
    </row>
    <row r="18" spans="2:6" x14ac:dyDescent="0.25">
      <c r="B18" s="48"/>
      <c r="C18" s="207" t="s">
        <v>104</v>
      </c>
      <c r="D18" s="42"/>
      <c r="E18" s="48"/>
      <c r="F18" s="48"/>
    </row>
    <row r="19" spans="2:6" x14ac:dyDescent="0.25">
      <c r="C19" s="207" t="s">
        <v>216</v>
      </c>
      <c r="D19" s="2"/>
    </row>
    <row r="20" spans="2:6" x14ac:dyDescent="0.25">
      <c r="C20" s="207" t="s">
        <v>217</v>
      </c>
    </row>
  </sheetData>
  <sheetProtection algorithmName="SHA-512" hashValue="yDrwriNYqJyzeR8MNYKdAzummdMp9iv/2w3G5k1QQvRhm181TYjF8vsvkxeObWZFHNuxEDWHcKQgBuLbJr0NPg==" saltValue="w653G2IoA+n9fxEfgmSHEA==" spinCount="100000" sheet="1" objects="1" scenarios="1"/>
  <conditionalFormatting sqref="H14">
    <cfRule type="containsText" dxfId="21" priority="5" operator="containsText" text="חריגה">
      <formula>NOT(ISERROR(SEARCH("חריגה",H14)))</formula>
    </cfRule>
  </conditionalFormatting>
  <conditionalFormatting sqref="P7:P14">
    <cfRule type="cellIs" dxfId="20" priority="3" operator="greaterThan">
      <formula>0</formula>
    </cfRule>
    <cfRule type="cellIs" dxfId="19" priority="4" operator="greaterThan">
      <formula>""""""</formula>
    </cfRule>
  </conditionalFormatting>
  <conditionalFormatting sqref="J7:J14">
    <cfRule type="cellIs" dxfId="18" priority="1" operator="greaterThan">
      <formula>0</formula>
    </cfRule>
    <cfRule type="cellIs" dxfId="17" priority="2" operator="greaterThan">
      <formula>""""""</formula>
    </cfRule>
  </conditionalFormatting>
  <dataValidations count="2">
    <dataValidation type="whole" allowBlank="1" showInputMessage="1" showErrorMessage="1" error="נא לכתוב מספר בין 10 ל80" sqref="E1">
      <formula1>10</formula1>
      <formula2>80</formula2>
    </dataValidation>
    <dataValidation type="list" allowBlank="1" showInputMessage="1" showErrorMessage="1" sqref="M7:M13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rightToLeft="1" zoomScaleNormal="100" workbookViewId="0"/>
  </sheetViews>
  <sheetFormatPr defaultColWidth="9" defaultRowHeight="15" x14ac:dyDescent="0.25"/>
  <cols>
    <col min="1" max="1" width="2.375" style="207" customWidth="1"/>
    <col min="2" max="2" width="9" style="207"/>
    <col min="3" max="3" width="23.375" style="207" customWidth="1"/>
    <col min="4" max="6" width="9" style="207"/>
    <col min="7" max="7" width="2.375" style="207" customWidth="1"/>
    <col min="8" max="8" width="14.75" style="207" customWidth="1"/>
    <col min="9" max="9" width="10.75" style="207" customWidth="1"/>
    <col min="10" max="11" width="9" style="207"/>
    <col min="12" max="12" width="2.25" style="207" customWidth="1"/>
    <col min="13" max="13" width="9" style="207"/>
    <col min="14" max="14" width="9" style="209"/>
    <col min="15" max="16" width="9" style="207"/>
    <col min="17" max="17" width="13.375" style="207" customWidth="1"/>
    <col min="18" max="16384" width="9" style="207"/>
  </cols>
  <sheetData>
    <row r="1" spans="1:17" x14ac:dyDescent="0.25">
      <c r="A1" s="2"/>
      <c r="B1" s="2" t="s">
        <v>152</v>
      </c>
      <c r="C1" s="2" t="str">
        <f>IF('שאלון למילוי מגיש הבקשה - חובה'!$G$7="","נא למלא שאלון למילוי מגיש הבקשה",'שאלון למילוי מגיש הבקשה - חובה'!$G$7)</f>
        <v>נא למלא שאלון למילוי מגיש הבקשה</v>
      </c>
      <c r="D1" s="2"/>
      <c r="E1" s="24">
        <f>'שאלון למילוי מגיש הבקשה - חובה'!G33</f>
        <v>0</v>
      </c>
      <c r="F1" s="2" t="str">
        <f>'ציוד כללי'!F1</f>
        <v>אנשים</v>
      </c>
      <c r="G1" s="2"/>
      <c r="H1" s="2" t="s">
        <v>78</v>
      </c>
      <c r="I1" s="2"/>
      <c r="J1" s="2"/>
      <c r="K1" s="2"/>
      <c r="L1" s="2"/>
      <c r="M1" s="2"/>
      <c r="N1" s="202"/>
      <c r="O1" s="2"/>
      <c r="P1" s="2"/>
      <c r="Q1" s="2"/>
    </row>
    <row r="2" spans="1:17" x14ac:dyDescent="0.25">
      <c r="A2" s="2"/>
      <c r="B2" s="2" t="s">
        <v>51</v>
      </c>
      <c r="C2" s="25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D2" s="2"/>
      <c r="E2" s="24">
        <f>'שאלון למילוי מגיש הבקשה - חובה'!G35</f>
        <v>0</v>
      </c>
      <c r="F2" s="2" t="s">
        <v>81</v>
      </c>
      <c r="G2" s="2"/>
      <c r="H2" s="2"/>
      <c r="I2" s="2"/>
      <c r="J2" s="2"/>
      <c r="K2" s="2"/>
      <c r="L2" s="2"/>
      <c r="M2" s="2"/>
      <c r="N2" s="202"/>
      <c r="O2" s="2"/>
      <c r="P2" s="2"/>
      <c r="Q2" s="2"/>
    </row>
    <row r="3" spans="1:17" x14ac:dyDescent="0.25">
      <c r="A3" s="2"/>
      <c r="B3" s="2" t="s">
        <v>72</v>
      </c>
      <c r="C3" s="26"/>
      <c r="D3" s="26"/>
      <c r="E3" s="24" t="str">
        <f>IF(E1&lt;51,"קטנה","גדולה")</f>
        <v>קטנה</v>
      </c>
      <c r="F3" s="2"/>
      <c r="G3" s="2"/>
      <c r="H3" s="2"/>
      <c r="I3" s="2"/>
      <c r="J3" s="2"/>
      <c r="K3" s="2"/>
      <c r="L3" s="2"/>
      <c r="M3" s="2"/>
      <c r="N3" s="202"/>
      <c r="O3" s="2"/>
      <c r="P3" s="2"/>
      <c r="Q3" s="2"/>
    </row>
    <row r="4" spans="1:17" x14ac:dyDescent="0.25">
      <c r="A4" s="2"/>
      <c r="B4" s="27" t="str">
        <f>'תוכן עיניינים'!B12</f>
        <v>מתקני חדר כושר</v>
      </c>
      <c r="C4" s="27"/>
      <c r="D4" s="28"/>
      <c r="E4" s="24" t="str">
        <f>IF(E1&lt;=50,"10 - 50","51 - 100")</f>
        <v>10 - 50</v>
      </c>
      <c r="F4" s="2" t="s">
        <v>48</v>
      </c>
      <c r="G4" s="2"/>
      <c r="H4" s="2"/>
      <c r="I4" s="2"/>
      <c r="J4" s="2"/>
      <c r="K4" s="2"/>
      <c r="L4" s="2"/>
      <c r="M4" s="2"/>
      <c r="N4" s="202"/>
      <c r="O4" s="2"/>
      <c r="P4" s="2"/>
      <c r="Q4" s="2"/>
    </row>
    <row r="5" spans="1:17" x14ac:dyDescent="0.25">
      <c r="A5" s="2"/>
      <c r="B5" s="20"/>
      <c r="C5" s="21" t="s">
        <v>23</v>
      </c>
      <c r="D5" s="21"/>
      <c r="E5" s="21"/>
      <c r="F5" s="22"/>
      <c r="G5" s="208"/>
      <c r="H5" s="20"/>
      <c r="I5" s="21" t="s">
        <v>34</v>
      </c>
      <c r="J5" s="21"/>
      <c r="K5" s="22"/>
      <c r="L5" s="208"/>
      <c r="M5" s="20"/>
      <c r="N5" s="21"/>
      <c r="O5" s="21" t="s">
        <v>130</v>
      </c>
      <c r="P5" s="21"/>
      <c r="Q5" s="22"/>
    </row>
    <row r="6" spans="1:17" ht="75" x14ac:dyDescent="0.25">
      <c r="A6" s="2"/>
      <c r="B6" s="4" t="s">
        <v>0</v>
      </c>
      <c r="C6" s="4" t="s">
        <v>24</v>
      </c>
      <c r="D6" s="4" t="s">
        <v>63</v>
      </c>
      <c r="E6" s="4" t="s">
        <v>212</v>
      </c>
      <c r="F6" s="35" t="s">
        <v>213</v>
      </c>
      <c r="G6" s="208"/>
      <c r="H6" s="4" t="s">
        <v>1</v>
      </c>
      <c r="I6" s="4" t="s">
        <v>32</v>
      </c>
      <c r="J6" s="4" t="s">
        <v>33</v>
      </c>
      <c r="K6" s="4" t="s">
        <v>128</v>
      </c>
      <c r="L6" s="208"/>
      <c r="M6" s="4" t="s">
        <v>218</v>
      </c>
      <c r="N6" s="4" t="s">
        <v>36</v>
      </c>
      <c r="O6" s="4" t="s">
        <v>37</v>
      </c>
      <c r="P6" s="4" t="s">
        <v>33</v>
      </c>
      <c r="Q6" s="4" t="s">
        <v>35</v>
      </c>
    </row>
    <row r="7" spans="1:17" ht="15.75" x14ac:dyDescent="0.25">
      <c r="B7" s="259" t="s">
        <v>123</v>
      </c>
      <c r="C7" s="61" t="s">
        <v>134</v>
      </c>
      <c r="D7" s="33">
        <v>1</v>
      </c>
      <c r="E7" s="15">
        <v>20000</v>
      </c>
      <c r="F7" s="15">
        <f t="shared" ref="F7" si="0">D7*E7</f>
        <v>20000</v>
      </c>
      <c r="H7" s="12"/>
      <c r="I7" s="8">
        <f>E7*H7</f>
        <v>0</v>
      </c>
      <c r="J7" s="9" t="str">
        <f>IF(I7=0,"",IF(OR(I7-F7&gt;0,I7-F7&lt;0),(I7-F7)/F7,""))</f>
        <v/>
      </c>
      <c r="K7" s="62" t="str">
        <f t="shared" ref="K7:K12" si="1">IF(H7&gt;D7,"נא להסביר חריגה כאן","")</f>
        <v/>
      </c>
      <c r="L7" s="2"/>
      <c r="M7" s="85"/>
      <c r="N7" s="86" t="str">
        <f t="shared" ref="N7:N12" si="2">IF(ISBLANK(M7),"",IF(M7="מאשר",H7,"נא למלא כמות מאושרת"))</f>
        <v/>
      </c>
      <c r="O7" s="8" t="str">
        <f t="shared" ref="O7:O12" si="3">IFERROR(IF(M7="","",N7*E7),"")</f>
        <v/>
      </c>
      <c r="P7" s="9" t="str">
        <f t="shared" ref="P7:P12" si="4">IF(O7="","",IF(OR(O7-F7&gt;0,O7-F7&lt;0),(O7-F7)/F7,""))</f>
        <v/>
      </c>
      <c r="Q7" s="13"/>
    </row>
    <row r="8" spans="1:17" ht="15.75" x14ac:dyDescent="0.25">
      <c r="B8" s="260"/>
      <c r="C8" s="61" t="s">
        <v>94</v>
      </c>
      <c r="D8" s="33">
        <v>1</v>
      </c>
      <c r="E8" s="15">
        <v>12000</v>
      </c>
      <c r="F8" s="15">
        <f t="shared" ref="F8:F11" si="5">D8*E8</f>
        <v>12000</v>
      </c>
      <c r="H8" s="12"/>
      <c r="I8" s="8">
        <f>E8*H8</f>
        <v>0</v>
      </c>
      <c r="J8" s="9" t="str">
        <f>IF(I8=0,"",IF(OR(I8-F8&gt;0,I8-F8&lt;0),(I8-F8)/F8,""))</f>
        <v/>
      </c>
      <c r="K8" s="62" t="str">
        <f t="shared" si="1"/>
        <v/>
      </c>
      <c r="L8" s="2"/>
      <c r="M8" s="85"/>
      <c r="N8" s="86" t="str">
        <f t="shared" si="2"/>
        <v/>
      </c>
      <c r="O8" s="8" t="str">
        <f t="shared" si="3"/>
        <v/>
      </c>
      <c r="P8" s="9" t="str">
        <f t="shared" si="4"/>
        <v/>
      </c>
      <c r="Q8" s="13"/>
    </row>
    <row r="9" spans="1:17" ht="30" x14ac:dyDescent="0.25">
      <c r="B9" s="260"/>
      <c r="C9" s="61" t="s">
        <v>95</v>
      </c>
      <c r="D9" s="33">
        <v>1</v>
      </c>
      <c r="E9" s="15">
        <v>20000</v>
      </c>
      <c r="F9" s="15">
        <f t="shared" si="5"/>
        <v>20000</v>
      </c>
      <c r="H9" s="12"/>
      <c r="I9" s="8">
        <f>E9*H9</f>
        <v>0</v>
      </c>
      <c r="J9" s="9" t="str">
        <f>IF(I9=0,"",IF(OR(I9-F9&gt;0,I9-F9&lt;0),(I9-F9)/F9,""))</f>
        <v/>
      </c>
      <c r="K9" s="62" t="str">
        <f t="shared" si="1"/>
        <v/>
      </c>
      <c r="L9" s="2"/>
      <c r="M9" s="85"/>
      <c r="N9" s="86" t="str">
        <f t="shared" si="2"/>
        <v/>
      </c>
      <c r="O9" s="8" t="str">
        <f t="shared" si="3"/>
        <v/>
      </c>
      <c r="P9" s="9" t="str">
        <f t="shared" si="4"/>
        <v/>
      </c>
      <c r="Q9" s="13"/>
    </row>
    <row r="10" spans="1:17" ht="15.75" x14ac:dyDescent="0.25">
      <c r="B10" s="260"/>
      <c r="C10" s="61" t="s">
        <v>139</v>
      </c>
      <c r="D10" s="33">
        <v>1</v>
      </c>
      <c r="E10" s="15">
        <v>10000</v>
      </c>
      <c r="F10" s="15">
        <f t="shared" si="5"/>
        <v>10000</v>
      </c>
      <c r="H10" s="12"/>
      <c r="I10" s="8">
        <f>E10*H10</f>
        <v>0</v>
      </c>
      <c r="J10" s="9" t="str">
        <f>IF(I10=0,"",IF(OR(I10-F10&gt;0,I10-F10&lt;0),(I10-F10)/F10,""))</f>
        <v/>
      </c>
      <c r="K10" s="62" t="str">
        <f t="shared" si="1"/>
        <v/>
      </c>
      <c r="L10" s="2"/>
      <c r="M10" s="85"/>
      <c r="N10" s="86" t="str">
        <f t="shared" si="2"/>
        <v/>
      </c>
      <c r="O10" s="8" t="str">
        <f t="shared" si="3"/>
        <v/>
      </c>
      <c r="P10" s="9" t="str">
        <f t="shared" si="4"/>
        <v/>
      </c>
      <c r="Q10" s="13"/>
    </row>
    <row r="11" spans="1:17" ht="15.75" x14ac:dyDescent="0.25">
      <c r="B11" s="260"/>
      <c r="C11" s="61" t="s">
        <v>185</v>
      </c>
      <c r="D11" s="3">
        <f>IF($E$1&lt;=50,2,3)</f>
        <v>2</v>
      </c>
      <c r="E11" s="15">
        <v>300</v>
      </c>
      <c r="F11" s="15">
        <f t="shared" si="5"/>
        <v>600</v>
      </c>
      <c r="H11" s="12"/>
      <c r="I11" s="8">
        <f>E11*H11</f>
        <v>0</v>
      </c>
      <c r="J11" s="9" t="str">
        <f>IF(I11=0,"",IF(OR(I11-F11&gt;0,I11-F11&lt;0),(I11-F11)/F11,""))</f>
        <v/>
      </c>
      <c r="K11" s="62" t="str">
        <f t="shared" si="1"/>
        <v/>
      </c>
      <c r="L11" s="2"/>
      <c r="M11" s="85"/>
      <c r="N11" s="86" t="str">
        <f t="shared" si="2"/>
        <v/>
      </c>
      <c r="O11" s="8" t="str">
        <f t="shared" si="3"/>
        <v/>
      </c>
      <c r="P11" s="9" t="str">
        <f t="shared" si="4"/>
        <v/>
      </c>
      <c r="Q11" s="13"/>
    </row>
    <row r="12" spans="1:17" ht="30" x14ac:dyDescent="0.25">
      <c r="B12" s="261"/>
      <c r="C12" s="61" t="s">
        <v>201</v>
      </c>
      <c r="D12" s="33">
        <v>2</v>
      </c>
      <c r="E12" s="15">
        <v>15000</v>
      </c>
      <c r="F12" s="15">
        <f t="shared" ref="F12" si="6">D12*E12</f>
        <v>30000</v>
      </c>
      <c r="H12" s="12"/>
      <c r="I12" s="8">
        <f t="shared" ref="I12" si="7">E12*H12</f>
        <v>0</v>
      </c>
      <c r="J12" s="9" t="str">
        <f t="shared" ref="J12" si="8">IF(I12=0,"",IF(OR(I12-F12&gt;0,I12-F12&lt;0),(I12-F12)/F12,""))</f>
        <v/>
      </c>
      <c r="K12" s="62" t="str">
        <f t="shared" si="1"/>
        <v/>
      </c>
      <c r="L12" s="2"/>
      <c r="M12" s="85"/>
      <c r="N12" s="86" t="str">
        <f t="shared" si="2"/>
        <v/>
      </c>
      <c r="O12" s="8" t="str">
        <f t="shared" si="3"/>
        <v/>
      </c>
      <c r="P12" s="9" t="str">
        <f t="shared" si="4"/>
        <v/>
      </c>
      <c r="Q12" s="13"/>
    </row>
    <row r="13" spans="1:17" ht="15.75" x14ac:dyDescent="0.25">
      <c r="B13" s="32" t="s">
        <v>219</v>
      </c>
      <c r="C13" s="61"/>
      <c r="D13" s="5"/>
      <c r="E13" s="6"/>
      <c r="F13" s="7">
        <f>SUM(F7:F12)</f>
        <v>92600</v>
      </c>
      <c r="G13" s="2"/>
      <c r="H13" s="10" t="str">
        <f>IF(I13&lt;=F13,"תקין ","חריגה")</f>
        <v xml:space="preserve">תקין </v>
      </c>
      <c r="I13" s="7">
        <f>SUM(I7:I12)</f>
        <v>0</v>
      </c>
      <c r="J13" s="9" t="str">
        <f t="shared" ref="J13" si="9">IF(I13=0,"",IF(OR(I13-F13&gt;0,I13-F13&lt;0),(I13-F13)/F13,""))</f>
        <v/>
      </c>
      <c r="K13" s="10" t="str">
        <f>B13</f>
        <v>סה"כ למתקני חדר כושר</v>
      </c>
      <c r="L13" s="48"/>
      <c r="M13" s="24"/>
      <c r="N13" s="24"/>
      <c r="O13" s="7">
        <f>SUM(O7:O12)</f>
        <v>0</v>
      </c>
      <c r="P13" s="9" t="str">
        <f t="shared" ref="P13" si="10">IF(O13=0,"",IF(OR(O13-F13&gt;0,O13-F13&lt;0),(O13-F13)/F13,""))</f>
        <v/>
      </c>
      <c r="Q13" s="10" t="str">
        <f>B13</f>
        <v>סה"כ למתקני חדר כושר</v>
      </c>
    </row>
    <row r="15" spans="1:17" x14ac:dyDescent="0.25">
      <c r="B15" s="207" t="s">
        <v>105</v>
      </c>
    </row>
    <row r="16" spans="1:17" x14ac:dyDescent="0.25">
      <c r="C16" s="207" t="s">
        <v>104</v>
      </c>
    </row>
    <row r="17" spans="3:3" x14ac:dyDescent="0.25">
      <c r="C17" s="207" t="s">
        <v>106</v>
      </c>
    </row>
    <row r="18" spans="3:3" x14ac:dyDescent="0.25">
      <c r="C18" s="207" t="s">
        <v>217</v>
      </c>
    </row>
  </sheetData>
  <sheetProtection algorithmName="SHA-512" hashValue="D4hbpVfG2UElEwPvFc0I5zt66T7Sgztu73WMDHXBQKeYcauxvTjNatKaF4fqeS19hOXzTKKvFBseiXxsbee7AA==" saltValue="BD88wngKAXAbhbL+ZGaJ2w==" spinCount="100000" sheet="1" objects="1" scenarios="1"/>
  <mergeCells count="1">
    <mergeCell ref="B7:B12"/>
  </mergeCells>
  <conditionalFormatting sqref="H13">
    <cfRule type="containsText" dxfId="16" priority="5" operator="containsText" text="חריגה">
      <formula>NOT(ISERROR(SEARCH("חריגה",H13)))</formula>
    </cfRule>
  </conditionalFormatting>
  <conditionalFormatting sqref="J7:J13">
    <cfRule type="cellIs" dxfId="15" priority="3" operator="greaterThan">
      <formula>0</formula>
    </cfRule>
    <cfRule type="cellIs" dxfId="14" priority="4" operator="greaterThan">
      <formula>""""""</formula>
    </cfRule>
  </conditionalFormatting>
  <conditionalFormatting sqref="P7:P13">
    <cfRule type="cellIs" dxfId="13" priority="1" operator="greaterThan">
      <formula>0</formula>
    </cfRule>
    <cfRule type="cellIs" dxfId="12" priority="2" operator="greaterThan">
      <formula>""""""</formula>
    </cfRule>
  </conditionalFormatting>
  <dataValidations count="2">
    <dataValidation type="whole" allowBlank="1" showInputMessage="1" showErrorMessage="1" error="נא לכתוב מספר בין 10 ל80" sqref="E1">
      <formula1>10</formula1>
      <formula2>80</formula2>
    </dataValidation>
    <dataValidation type="list" allowBlank="1" showInputMessage="1" showErrorMessage="1" sqref="M7:M12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Q24"/>
  <sheetViews>
    <sheetView rightToLeft="1" zoomScaleNormal="100" workbookViewId="0">
      <pane xSplit="4" ySplit="6" topLeftCell="E7" activePane="bottomRight" state="frozen"/>
      <selection activeCell="F16" sqref="F16"/>
      <selection pane="topRight" activeCell="F16" sqref="F16"/>
      <selection pane="bottomLeft" activeCell="F16" sqref="F16"/>
      <selection pane="bottomRight"/>
    </sheetView>
  </sheetViews>
  <sheetFormatPr defaultColWidth="9" defaultRowHeight="15" x14ac:dyDescent="0.25"/>
  <cols>
    <col min="1" max="1" width="2.875" style="26" customWidth="1"/>
    <col min="2" max="2" width="10.375" style="2" customWidth="1"/>
    <col min="3" max="3" width="23.375" style="26" customWidth="1"/>
    <col min="4" max="4" width="7.375" style="26" customWidth="1"/>
    <col min="5" max="5" width="8.875" style="26" customWidth="1"/>
    <col min="6" max="6" width="8.625" style="26" customWidth="1"/>
    <col min="7" max="7" width="3.125" style="26" customWidth="1"/>
    <col min="8" max="8" width="7.125" style="26" customWidth="1"/>
    <col min="9" max="9" width="9.625" style="26" customWidth="1"/>
    <col min="10" max="10" width="9.25" style="26" customWidth="1"/>
    <col min="11" max="11" width="11.375" style="26" customWidth="1"/>
    <col min="12" max="12" width="2.25" style="26" customWidth="1"/>
    <col min="13" max="13" width="9" style="26"/>
    <col min="14" max="14" width="8.25" style="202" customWidth="1"/>
    <col min="15" max="15" width="9.125" style="26" customWidth="1"/>
    <col min="16" max="16" width="9" style="26"/>
    <col min="17" max="17" width="12.875" style="26" customWidth="1"/>
    <col min="18" max="16384" width="9" style="26"/>
  </cols>
  <sheetData>
    <row r="1" spans="2:17" x14ac:dyDescent="0.25">
      <c r="B1" s="2" t="s">
        <v>152</v>
      </c>
      <c r="C1" s="2" t="str">
        <f>IF('שאלון למילוי מגיש הבקשה - חובה'!$G$7="","נא למלא שאלון למילוי מגיש הבקשה",'שאלון למילוי מגיש הבקשה - חובה'!$G$7)</f>
        <v>נא למלא שאלון למילוי מגיש הבקשה</v>
      </c>
      <c r="D1" s="2"/>
      <c r="E1" s="24">
        <f>'שאלון למילוי מגיש הבקשה - חובה'!G33</f>
        <v>0</v>
      </c>
      <c r="F1" s="2" t="str">
        <f>'ציוד כללי'!F1</f>
        <v>אנשים</v>
      </c>
      <c r="G1" s="2"/>
      <c r="H1" s="2" t="s">
        <v>78</v>
      </c>
      <c r="I1" s="2"/>
      <c r="J1" s="2"/>
      <c r="K1" s="2"/>
    </row>
    <row r="2" spans="2:17" x14ac:dyDescent="0.25">
      <c r="B2" s="2" t="s">
        <v>51</v>
      </c>
      <c r="C2" s="25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D2" s="2"/>
      <c r="E2" s="24">
        <f>'שאלון למילוי מגיש הבקשה - חובה'!G35</f>
        <v>0</v>
      </c>
      <c r="F2" s="2" t="s">
        <v>81</v>
      </c>
      <c r="G2" s="2"/>
      <c r="H2" s="2"/>
      <c r="I2" s="2"/>
      <c r="J2" s="2"/>
      <c r="K2" s="2"/>
    </row>
    <row r="3" spans="2:17" x14ac:dyDescent="0.25">
      <c r="B3" s="2" t="s">
        <v>72</v>
      </c>
      <c r="E3" s="24" t="str">
        <f>IF(E1&lt;51,"קטנה","גדולה")</f>
        <v>קטנה</v>
      </c>
      <c r="F3" s="2"/>
      <c r="G3" s="2"/>
      <c r="H3" s="2"/>
      <c r="I3" s="2"/>
      <c r="J3" s="2"/>
      <c r="K3" s="2"/>
    </row>
    <row r="4" spans="2:17" x14ac:dyDescent="0.25">
      <c r="B4" s="27" t="str">
        <f>'תוכן עיניינים'!B13</f>
        <v>מתקני חצר לילדים</v>
      </c>
      <c r="C4" s="27"/>
      <c r="D4" s="28"/>
      <c r="E4" s="24" t="str">
        <f>IF(E1&lt;=50,"10 - 50","51 - 100")</f>
        <v>10 - 50</v>
      </c>
      <c r="F4" s="2" t="s">
        <v>48</v>
      </c>
      <c r="G4" s="2"/>
      <c r="H4" s="2"/>
      <c r="I4" s="2"/>
      <c r="J4" s="2"/>
      <c r="K4" s="2"/>
    </row>
    <row r="5" spans="2:17" x14ac:dyDescent="0.25">
      <c r="B5" s="29"/>
      <c r="C5" s="30" t="s">
        <v>23</v>
      </c>
      <c r="D5" s="30"/>
      <c r="E5" s="30"/>
      <c r="F5" s="31"/>
      <c r="G5" s="2"/>
      <c r="H5" s="29"/>
      <c r="I5" s="30" t="s">
        <v>34</v>
      </c>
      <c r="J5" s="30"/>
      <c r="K5" s="31"/>
      <c r="L5" s="2"/>
      <c r="M5" s="29"/>
      <c r="N5" s="30"/>
      <c r="O5" s="30" t="s">
        <v>130</v>
      </c>
      <c r="P5" s="30"/>
      <c r="Q5" s="31"/>
    </row>
    <row r="6" spans="2:17" s="2" customFormat="1" ht="45" x14ac:dyDescent="0.25">
      <c r="B6" s="35" t="s">
        <v>0</v>
      </c>
      <c r="C6" s="35" t="s">
        <v>24</v>
      </c>
      <c r="D6" s="35" t="s">
        <v>63</v>
      </c>
      <c r="E6" s="35" t="s">
        <v>212</v>
      </c>
      <c r="F6" s="35" t="s">
        <v>213</v>
      </c>
      <c r="H6" s="35" t="s">
        <v>1</v>
      </c>
      <c r="I6" s="35" t="s">
        <v>32</v>
      </c>
      <c r="J6" s="35" t="s">
        <v>33</v>
      </c>
      <c r="K6" s="35" t="s">
        <v>128</v>
      </c>
      <c r="M6" s="4" t="s">
        <v>218</v>
      </c>
      <c r="N6" s="35" t="s">
        <v>36</v>
      </c>
      <c r="O6" s="35" t="s">
        <v>37</v>
      </c>
      <c r="P6" s="35" t="s">
        <v>33</v>
      </c>
      <c r="Q6" s="35" t="s">
        <v>35</v>
      </c>
    </row>
    <row r="7" spans="2:17" ht="30" x14ac:dyDescent="0.25">
      <c r="B7" s="255"/>
      <c r="C7" s="35" t="s">
        <v>214</v>
      </c>
      <c r="D7" s="34">
        <v>1</v>
      </c>
      <c r="E7" s="55">
        <f>IF($E$1&lt;=50,30000,50000)</f>
        <v>30000</v>
      </c>
      <c r="F7" s="8">
        <f t="shared" ref="F7:F8" si="0">E7*D7</f>
        <v>30000</v>
      </c>
      <c r="G7" s="2"/>
      <c r="H7" s="12"/>
      <c r="I7" s="8">
        <f>E7*H7</f>
        <v>0</v>
      </c>
      <c r="J7" s="9" t="str">
        <f t="shared" ref="J7:J14" si="1">IF(I7=0,"",IF(OR(I7-F7&gt;0,I7-F7&lt;0),(I7-F7)/F7,""))</f>
        <v/>
      </c>
      <c r="K7" s="62" t="str">
        <f>IF(H7&gt;D7,"נא להסביר חריגה כאן","")</f>
        <v/>
      </c>
      <c r="L7" s="2"/>
      <c r="M7" s="85"/>
      <c r="N7" s="86" t="str">
        <f t="shared" ref="N7:N8" si="2">IF(ISBLANK(M7),"",IF(M7="מאשר",H7,"נא למלא כמות מאושרת"))</f>
        <v/>
      </c>
      <c r="O7" s="116" t="str">
        <f>IFERROR(IF(M7="","",N7*E7),"")</f>
        <v/>
      </c>
      <c r="P7" s="9" t="str">
        <f>IF(O7="","",IF(OR(O7-F7&gt;0,O7-F7&lt;0),(O7-F7)/F7,""))</f>
        <v/>
      </c>
      <c r="Q7" s="13"/>
    </row>
    <row r="8" spans="2:17" ht="30" x14ac:dyDescent="0.25">
      <c r="B8" s="262"/>
      <c r="C8" s="35" t="s">
        <v>184</v>
      </c>
      <c r="D8" s="50">
        <f>IF($E$1&lt;=50,50,100)</f>
        <v>50</v>
      </c>
      <c r="E8" s="15">
        <v>300</v>
      </c>
      <c r="F8" s="8">
        <f t="shared" si="0"/>
        <v>15000</v>
      </c>
      <c r="G8" s="2"/>
      <c r="H8" s="12"/>
      <c r="I8" s="8">
        <f>E8*H8</f>
        <v>0</v>
      </c>
      <c r="J8" s="9" t="str">
        <f t="shared" si="1"/>
        <v/>
      </c>
      <c r="K8" s="62" t="str">
        <f>IF(H8&gt;D8,"נא להסביר חריגה כאן","")</f>
        <v/>
      </c>
      <c r="L8" s="2"/>
      <c r="M8" s="85"/>
      <c r="N8" s="86" t="str">
        <f t="shared" si="2"/>
        <v/>
      </c>
      <c r="O8" s="116" t="str">
        <f>IFERROR(IF(M8="","",N8*E8),"")</f>
        <v/>
      </c>
      <c r="P8" s="9" t="str">
        <f>IF(O8="","",IF(OR(O8-F8&gt;0,O8-F8&lt;0),(O8-F8)/F8,""))</f>
        <v/>
      </c>
      <c r="Q8" s="13"/>
    </row>
    <row r="9" spans="2:17" x14ac:dyDescent="0.25">
      <c r="B9" s="37" t="s">
        <v>96</v>
      </c>
      <c r="C9" s="38"/>
      <c r="D9" s="38"/>
      <c r="E9" s="6"/>
      <c r="F9" s="8">
        <f>SUM(F7:F8)</f>
        <v>45000</v>
      </c>
      <c r="G9" s="2"/>
      <c r="H9" s="10"/>
      <c r="I9" s="36">
        <f>SUM(I7:I8)</f>
        <v>0</v>
      </c>
      <c r="J9" s="9" t="str">
        <f t="shared" si="1"/>
        <v/>
      </c>
      <c r="K9" s="10" t="str">
        <f>B9</f>
        <v>סה"כ מתקני חצר לילדים</v>
      </c>
      <c r="L9" s="2"/>
      <c r="M9" s="24"/>
      <c r="N9" s="24"/>
      <c r="O9" s="117">
        <f>SUM(O7:O8)</f>
        <v>0</v>
      </c>
      <c r="P9" s="9" t="str">
        <f>IF(O9=0,"",IF(OR(O9-F9&gt;0,O9-F9&lt;0),(O9-F9)/F9,""))</f>
        <v/>
      </c>
      <c r="Q9" s="10" t="str">
        <f>B9</f>
        <v>סה"כ מתקני חצר לילדים</v>
      </c>
    </row>
    <row r="10" spans="2:17" ht="15.75" x14ac:dyDescent="0.25">
      <c r="B10" s="254" t="s">
        <v>97</v>
      </c>
      <c r="C10" s="35" t="s">
        <v>98</v>
      </c>
      <c r="D10" s="34">
        <v>1</v>
      </c>
      <c r="E10" s="15">
        <v>3000</v>
      </c>
      <c r="F10" s="8">
        <f>E10*D10</f>
        <v>3000</v>
      </c>
      <c r="G10" s="2"/>
      <c r="H10" s="12"/>
      <c r="I10" s="8">
        <f>E10*H10</f>
        <v>0</v>
      </c>
      <c r="J10" s="9" t="str">
        <f t="shared" si="1"/>
        <v/>
      </c>
      <c r="K10" s="62" t="str">
        <f>IF(H10&gt;D10,"נא להסביר חריגה כאן","")</f>
        <v/>
      </c>
      <c r="L10" s="2"/>
      <c r="M10" s="85"/>
      <c r="N10" s="86" t="str">
        <f t="shared" ref="N10:N12" si="3">IF(ISBLANK(M10),"",IF(M10="מאשר",H10,"נא למלא כמות מאושרת"))</f>
        <v/>
      </c>
      <c r="O10" s="116" t="str">
        <f>IFERROR(IF(M10="","",N10*E10),"")</f>
        <v/>
      </c>
      <c r="P10" s="9" t="str">
        <f>IF(O10="","",IF(OR(O10-F10&gt;0,O10-F10&lt;0),(O10-F10)/F10,""))</f>
        <v/>
      </c>
      <c r="Q10" s="13"/>
    </row>
    <row r="11" spans="2:17" ht="15.75" x14ac:dyDescent="0.25">
      <c r="B11" s="255"/>
      <c r="C11" s="35" t="s">
        <v>99</v>
      </c>
      <c r="D11" s="34">
        <v>1</v>
      </c>
      <c r="E11" s="15">
        <v>3000</v>
      </c>
      <c r="F11" s="8">
        <f t="shared" ref="F11:F12" si="4">E11*D11</f>
        <v>3000</v>
      </c>
      <c r="G11" s="2"/>
      <c r="H11" s="12"/>
      <c r="I11" s="8">
        <f>E11*H11</f>
        <v>0</v>
      </c>
      <c r="J11" s="9" t="str">
        <f t="shared" si="1"/>
        <v/>
      </c>
      <c r="K11" s="62" t="str">
        <f>IF(H11&gt;D11,"נא להסביר חריגה כאן","")</f>
        <v/>
      </c>
      <c r="L11" s="2"/>
      <c r="M11" s="85"/>
      <c r="N11" s="86" t="str">
        <f t="shared" si="3"/>
        <v/>
      </c>
      <c r="O11" s="116" t="str">
        <f>IFERROR(IF(M11="","",N11*E11),"")</f>
        <v/>
      </c>
      <c r="P11" s="9" t="str">
        <f>IF(O11="","",IF(OR(O11-F11&gt;0,O11-F11&lt;0),(O11-F11)/F11,""))</f>
        <v/>
      </c>
      <c r="Q11" s="13"/>
    </row>
    <row r="12" spans="2:17" ht="15.75" x14ac:dyDescent="0.25">
      <c r="B12" s="262"/>
      <c r="C12" s="35" t="s">
        <v>208</v>
      </c>
      <c r="D12" s="34">
        <v>1</v>
      </c>
      <c r="E12" s="15">
        <v>1000</v>
      </c>
      <c r="F12" s="8">
        <f t="shared" si="4"/>
        <v>1000</v>
      </c>
      <c r="G12" s="2"/>
      <c r="H12" s="12"/>
      <c r="I12" s="8">
        <f>E12*H12</f>
        <v>0</v>
      </c>
      <c r="J12" s="9" t="str">
        <f t="shared" si="1"/>
        <v/>
      </c>
      <c r="K12" s="62" t="str">
        <f>IF(H12&gt;D12,"נא להסביר חריגה כאן","")</f>
        <v/>
      </c>
      <c r="L12" s="2"/>
      <c r="M12" s="85"/>
      <c r="N12" s="86" t="str">
        <f t="shared" si="3"/>
        <v/>
      </c>
      <c r="O12" s="116" t="str">
        <f>IFERROR(IF(M12="","",N12*E12),"")</f>
        <v/>
      </c>
      <c r="P12" s="9" t="str">
        <f>IF(O12="","",IF(OR(O12-F12&gt;0,O12-F12&lt;0),(O12-F12)/F12,""))</f>
        <v/>
      </c>
      <c r="Q12" s="13"/>
    </row>
    <row r="13" spans="2:17" x14ac:dyDescent="0.25">
      <c r="B13" s="37" t="s">
        <v>100</v>
      </c>
      <c r="C13" s="38"/>
      <c r="D13" s="38"/>
      <c r="E13" s="6"/>
      <c r="F13" s="8">
        <f>SUM(F10:F12)</f>
        <v>7000</v>
      </c>
      <c r="G13" s="2"/>
      <c r="H13" s="10"/>
      <c r="I13" s="36">
        <f>SUM(I10:I12)</f>
        <v>0</v>
      </c>
      <c r="J13" s="9" t="str">
        <f t="shared" si="1"/>
        <v/>
      </c>
      <c r="K13" s="10" t="str">
        <f>B13</f>
        <v>סה"כ מתקני מוסיקה לחצר</v>
      </c>
      <c r="L13" s="2"/>
      <c r="M13" s="24"/>
      <c r="N13" s="24"/>
      <c r="O13" s="36">
        <f>SUM(O10:O12)</f>
        <v>0</v>
      </c>
      <c r="P13" s="9" t="str">
        <f>IF(O13=0,"",IF(OR(O13-F13&gt;0,O13-F13&lt;0),(O13-F13)/F13,""))</f>
        <v/>
      </c>
      <c r="Q13" s="10" t="str">
        <f>B13</f>
        <v>סה"כ מתקני מוסיקה לחצר</v>
      </c>
    </row>
    <row r="14" spans="2:17" x14ac:dyDescent="0.25">
      <c r="B14" s="39" t="s">
        <v>101</v>
      </c>
      <c r="C14" s="40"/>
      <c r="D14" s="40"/>
      <c r="E14" s="41"/>
      <c r="F14" s="15">
        <f>F9+F13</f>
        <v>52000</v>
      </c>
      <c r="H14" s="11" t="str">
        <f>IF(I14&lt;=F14,"תקין ","חריגה")</f>
        <v xml:space="preserve">תקין </v>
      </c>
      <c r="I14" s="15">
        <f>I9+I13</f>
        <v>0</v>
      </c>
      <c r="J14" s="9" t="str">
        <f t="shared" si="1"/>
        <v/>
      </c>
      <c r="K14" s="206" t="str">
        <f>B14</f>
        <v>סה"כ  תקציב  למתקני חצר ומתקני מוסיקה לחצר</v>
      </c>
      <c r="L14" s="42"/>
      <c r="M14" s="11"/>
      <c r="N14" s="24"/>
      <c r="O14" s="15">
        <f>O9+O13</f>
        <v>0</v>
      </c>
      <c r="P14" s="9" t="str">
        <f>IF(O14=0,"",IF(OR(O14-F14&gt;0,O14-F14&lt;0),(O14-F14)/F14,""))</f>
        <v/>
      </c>
      <c r="Q14" s="206" t="str">
        <f>B14</f>
        <v>סה"כ  תקציב  למתקני חצר ומתקני מוסיקה לחצר</v>
      </c>
    </row>
    <row r="15" spans="2:17" x14ac:dyDescent="0.25">
      <c r="C15" s="2"/>
    </row>
    <row r="16" spans="2:17" x14ac:dyDescent="0.25">
      <c r="B16" s="207" t="s">
        <v>102</v>
      </c>
      <c r="C16" s="207"/>
      <c r="D16" s="207"/>
    </row>
    <row r="17" spans="2:7" x14ac:dyDescent="0.25">
      <c r="B17" s="207"/>
      <c r="C17" s="207" t="s">
        <v>103</v>
      </c>
      <c r="D17" s="207"/>
      <c r="F17" s="42"/>
      <c r="G17" s="42"/>
    </row>
    <row r="18" spans="2:7" x14ac:dyDescent="0.25">
      <c r="B18" s="207"/>
      <c r="C18" s="207" t="s">
        <v>202</v>
      </c>
      <c r="D18" s="207"/>
    </row>
    <row r="19" spans="2:7" x14ac:dyDescent="0.25">
      <c r="B19" s="207"/>
      <c r="C19" s="207" t="s">
        <v>104</v>
      </c>
      <c r="D19" s="207"/>
    </row>
    <row r="20" spans="2:7" x14ac:dyDescent="0.25">
      <c r="B20" s="207"/>
      <c r="C20" s="207" t="s">
        <v>216</v>
      </c>
      <c r="D20" s="207"/>
    </row>
    <row r="21" spans="2:7" x14ac:dyDescent="0.25">
      <c r="B21" s="207"/>
      <c r="C21" s="207"/>
      <c r="D21" s="207"/>
    </row>
    <row r="22" spans="2:7" x14ac:dyDescent="0.25">
      <c r="B22" s="207"/>
      <c r="C22" s="207"/>
      <c r="D22" s="207"/>
      <c r="E22" s="207"/>
      <c r="F22" s="207"/>
      <c r="G22" s="207"/>
    </row>
    <row r="23" spans="2:7" x14ac:dyDescent="0.25">
      <c r="B23" s="207"/>
      <c r="C23" s="207"/>
      <c r="D23" s="207"/>
      <c r="E23" s="207"/>
      <c r="F23" s="207"/>
      <c r="G23" s="207"/>
    </row>
    <row r="24" spans="2:7" x14ac:dyDescent="0.25">
      <c r="C24" s="2"/>
      <c r="D24" s="2"/>
      <c r="E24" s="2"/>
      <c r="F24" s="2"/>
      <c r="G24" s="2"/>
    </row>
  </sheetData>
  <sheetProtection algorithmName="SHA-512" hashValue="5ME5VAIRv/XACzwf1O9ZCZezlMJgUGmaQ3RIRe9ks1+cea9hI4lqVtYc2sP57VtX8B9anAsM8mOcraj4FS2Tmg==" saltValue="+16p2xJkcC0z4XnwmkG8bQ==" spinCount="100000" sheet="1" objects="1" scenarios="1"/>
  <mergeCells count="2">
    <mergeCell ref="B7:B8"/>
    <mergeCell ref="B10:B12"/>
  </mergeCells>
  <conditionalFormatting sqref="H14">
    <cfRule type="containsText" dxfId="11" priority="5" operator="containsText" text="חריגה">
      <formula>NOT(ISERROR(SEARCH("חריגה",H14)))</formula>
    </cfRule>
  </conditionalFormatting>
  <conditionalFormatting sqref="J7:J14">
    <cfRule type="cellIs" dxfId="10" priority="3" operator="greaterThan">
      <formula>0</formula>
    </cfRule>
    <cfRule type="cellIs" dxfId="9" priority="4" operator="greaterThan">
      <formula>""""""</formula>
    </cfRule>
  </conditionalFormatting>
  <conditionalFormatting sqref="P7:P14">
    <cfRule type="cellIs" dxfId="8" priority="1" operator="greaterThan">
      <formula>0</formula>
    </cfRule>
    <cfRule type="cellIs" dxfId="7" priority="2" operator="greaterThan">
      <formula>""""""</formula>
    </cfRule>
  </conditionalFormatting>
  <dataValidations count="2">
    <dataValidation type="whole" allowBlank="1" showInputMessage="1" showErrorMessage="1" error="נא לכתוב מספר בין 10 ל80" sqref="E1">
      <formula1>10</formula1>
      <formula2>80</formula2>
    </dataValidation>
    <dataValidation type="list" allowBlank="1" showInputMessage="1" showErrorMessage="1" sqref="M7:M8 M10:M12 M14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Q25"/>
  <sheetViews>
    <sheetView rightToLeft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9.125" defaultRowHeight="15" x14ac:dyDescent="0.25"/>
  <cols>
    <col min="1" max="1" width="2.375" style="2" customWidth="1"/>
    <col min="2" max="2" width="11.25" style="2" customWidth="1"/>
    <col min="3" max="3" width="29.375" style="2" customWidth="1"/>
    <col min="4" max="4" width="8.75" style="14" customWidth="1"/>
    <col min="5" max="5" width="8.875" style="14" customWidth="1"/>
    <col min="6" max="6" width="9.25" style="2" customWidth="1"/>
    <col min="7" max="7" width="2.375" style="2" customWidth="1"/>
    <col min="8" max="8" width="9.125" style="2"/>
    <col min="9" max="9" width="10.25" style="2" customWidth="1"/>
    <col min="10" max="10" width="9.125" style="2"/>
    <col min="11" max="11" width="15.75" style="2" customWidth="1"/>
    <col min="12" max="12" width="2.25" style="2" customWidth="1"/>
    <col min="13" max="13" width="8.125" style="2" customWidth="1"/>
    <col min="14" max="14" width="9.125" style="202"/>
    <col min="15" max="15" width="9.875" style="2" bestFit="1" customWidth="1"/>
    <col min="16" max="16" width="9.125" style="2"/>
    <col min="17" max="17" width="15.875" style="2" customWidth="1"/>
    <col min="18" max="16384" width="9.125" style="2"/>
  </cols>
  <sheetData>
    <row r="1" spans="2:17" x14ac:dyDescent="0.25">
      <c r="B1" s="2" t="s">
        <v>152</v>
      </c>
      <c r="C1" s="2" t="str">
        <f>IF('שאלון למילוי מגיש הבקשה - חובה'!$G$7="","נא למלא שאלון למילוי מגיש הבקשה",'שאלון למילוי מגיש הבקשה - חובה'!$G$7)</f>
        <v>נא למלא שאלון למילוי מגיש הבקשה</v>
      </c>
      <c r="D1" s="2"/>
      <c r="E1" s="24">
        <f>'שאלון למילוי מגיש הבקשה - חובה'!G33</f>
        <v>0</v>
      </c>
      <c r="F1" s="2" t="str">
        <f>'ציוד כללי'!F1</f>
        <v>אנשים</v>
      </c>
      <c r="H1" s="2" t="s">
        <v>78</v>
      </c>
    </row>
    <row r="2" spans="2:17" x14ac:dyDescent="0.25">
      <c r="B2" s="2" t="s">
        <v>51</v>
      </c>
      <c r="C2" s="25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D2" s="2"/>
      <c r="E2" s="24">
        <f>'שאלון למילוי מגיש הבקשה - חובה'!G35</f>
        <v>0</v>
      </c>
      <c r="F2" s="2" t="s">
        <v>81</v>
      </c>
      <c r="I2" s="203"/>
    </row>
    <row r="3" spans="2:17" x14ac:dyDescent="0.25">
      <c r="B3" s="2" t="s">
        <v>72</v>
      </c>
      <c r="C3" s="26"/>
      <c r="D3" s="26"/>
      <c r="E3" s="24" t="str">
        <f>IF(E1&lt;51,"קטנה","גדולה")</f>
        <v>קטנה</v>
      </c>
      <c r="F3" s="43"/>
    </row>
    <row r="4" spans="2:17" x14ac:dyDescent="0.25">
      <c r="B4" s="27" t="str">
        <f>'תוכן עיניינים'!B14</f>
        <v>ציוד חוגים</v>
      </c>
      <c r="C4" s="27"/>
      <c r="D4" s="28"/>
      <c r="E4" s="24" t="str">
        <f>IF(E1&lt;=50,"10 - 50","51 - 100")</f>
        <v>10 - 50</v>
      </c>
      <c r="F4" s="2" t="s">
        <v>48</v>
      </c>
      <c r="I4" s="203"/>
    </row>
    <row r="5" spans="2:17" x14ac:dyDescent="0.25">
      <c r="B5" s="29"/>
      <c r="C5" s="30" t="s">
        <v>23</v>
      </c>
      <c r="D5" s="30"/>
      <c r="E5" s="30"/>
      <c r="F5" s="31"/>
      <c r="H5" s="29"/>
      <c r="I5" s="30" t="s">
        <v>34</v>
      </c>
      <c r="J5" s="30"/>
      <c r="K5" s="31"/>
      <c r="M5" s="29"/>
      <c r="N5" s="30"/>
      <c r="O5" s="30" t="s">
        <v>130</v>
      </c>
      <c r="P5" s="30"/>
      <c r="Q5" s="31"/>
    </row>
    <row r="6" spans="2:17" ht="45" x14ac:dyDescent="0.25">
      <c r="B6" s="44" t="s">
        <v>0</v>
      </c>
      <c r="C6" s="35" t="s">
        <v>24</v>
      </c>
      <c r="D6" s="35" t="s">
        <v>63</v>
      </c>
      <c r="E6" s="35" t="s">
        <v>212</v>
      </c>
      <c r="F6" s="35" t="s">
        <v>213</v>
      </c>
      <c r="H6" s="35" t="s">
        <v>1</v>
      </c>
      <c r="I6" s="35" t="s">
        <v>32</v>
      </c>
      <c r="J6" s="35" t="s">
        <v>33</v>
      </c>
      <c r="K6" s="35" t="s">
        <v>128</v>
      </c>
      <c r="M6" s="4" t="s">
        <v>218</v>
      </c>
      <c r="N6" s="35" t="s">
        <v>36</v>
      </c>
      <c r="O6" s="35" t="s">
        <v>37</v>
      </c>
      <c r="P6" s="35" t="s">
        <v>33</v>
      </c>
      <c r="Q6" s="35" t="s">
        <v>35</v>
      </c>
    </row>
    <row r="7" spans="2:17" ht="60" x14ac:dyDescent="0.25">
      <c r="B7" s="259" t="s">
        <v>42</v>
      </c>
      <c r="C7" s="19" t="s">
        <v>209</v>
      </c>
      <c r="D7" s="16">
        <v>1</v>
      </c>
      <c r="E7" s="15">
        <v>25000</v>
      </c>
      <c r="F7" s="15">
        <f t="shared" ref="F7:F12" si="0">D7*E7</f>
        <v>25000</v>
      </c>
      <c r="H7" s="81"/>
      <c r="I7" s="8">
        <f t="shared" ref="I7:I12" si="1">E7*H7</f>
        <v>0</v>
      </c>
      <c r="J7" s="9" t="str">
        <f t="shared" ref="J7:J15" si="2">IF(I7=0,"",IF(OR(I7-E7&gt;0,I7-F7&lt;0),(I7-F7)/F7,""))</f>
        <v/>
      </c>
      <c r="K7" s="62" t="str">
        <f t="shared" ref="K7:K14" si="3">IF(H7&gt;D7,"נא להסביר חריגה כאן","")</f>
        <v/>
      </c>
      <c r="M7" s="85"/>
      <c r="N7" s="86" t="str">
        <f t="shared" ref="N7:N11" si="4">IF(ISBLANK(M7),"",IF(M7="מאשר",H7,"נא למלא כמות מאושרת"))</f>
        <v/>
      </c>
      <c r="O7" s="8" t="str">
        <f>IFERROR(IF(M7="","",N7*E7),"")</f>
        <v/>
      </c>
      <c r="P7" s="9" t="str">
        <f>IF(O7="","",IF(OR(O7-F7&gt;0,O7-F7&lt;0),(O7-F7)/F7,""))</f>
        <v/>
      </c>
      <c r="Q7" s="13"/>
    </row>
    <row r="8" spans="2:17" x14ac:dyDescent="0.25">
      <c r="B8" s="260"/>
      <c r="C8" s="19" t="s">
        <v>16</v>
      </c>
      <c r="D8" s="16">
        <v>1</v>
      </c>
      <c r="E8" s="15">
        <v>12000</v>
      </c>
      <c r="F8" s="15">
        <f t="shared" si="0"/>
        <v>12000</v>
      </c>
      <c r="H8" s="81"/>
      <c r="I8" s="8">
        <f t="shared" si="1"/>
        <v>0</v>
      </c>
      <c r="J8" s="9" t="str">
        <f t="shared" si="2"/>
        <v/>
      </c>
      <c r="K8" s="62" t="str">
        <f t="shared" si="3"/>
        <v/>
      </c>
      <c r="M8" s="85"/>
      <c r="N8" s="86" t="str">
        <f t="shared" si="4"/>
        <v/>
      </c>
      <c r="O8" s="8" t="str">
        <f>IFERROR(IF(M8="","",N8*E8),"")</f>
        <v/>
      </c>
      <c r="P8" s="9" t="str">
        <f>IF(O8="","",IF(OR(O8-F8&gt;0,O8-F8&lt;0),(O8-F8)/F8,""))</f>
        <v/>
      </c>
      <c r="Q8" s="13"/>
    </row>
    <row r="9" spans="2:17" x14ac:dyDescent="0.25">
      <c r="B9" s="260"/>
      <c r="C9" s="19" t="s">
        <v>64</v>
      </c>
      <c r="D9" s="16">
        <v>1</v>
      </c>
      <c r="E9" s="15">
        <v>7000</v>
      </c>
      <c r="F9" s="15">
        <f t="shared" si="0"/>
        <v>7000</v>
      </c>
      <c r="H9" s="81"/>
      <c r="I9" s="8">
        <f t="shared" si="1"/>
        <v>0</v>
      </c>
      <c r="J9" s="9" t="str">
        <f t="shared" si="2"/>
        <v/>
      </c>
      <c r="K9" s="62" t="str">
        <f t="shared" si="3"/>
        <v/>
      </c>
      <c r="M9" s="85"/>
      <c r="N9" s="86" t="str">
        <f t="shared" si="4"/>
        <v/>
      </c>
      <c r="O9" s="8" t="str">
        <f>IFERROR(IF(M9="","",N9*E9),"")</f>
        <v/>
      </c>
      <c r="P9" s="9" t="str">
        <f>IF(O9="","",IF(OR(O9-F9&gt;0,O9-F9&lt;0),(O9-F9)/F9,""))</f>
        <v/>
      </c>
      <c r="Q9" s="13"/>
    </row>
    <row r="10" spans="2:17" ht="15" customHeight="1" x14ac:dyDescent="0.25">
      <c r="B10" s="260"/>
      <c r="C10" s="19" t="s">
        <v>17</v>
      </c>
      <c r="D10" s="16">
        <v>1</v>
      </c>
      <c r="E10" s="15">
        <v>7000</v>
      </c>
      <c r="F10" s="15">
        <f t="shared" si="0"/>
        <v>7000</v>
      </c>
      <c r="H10" s="81"/>
      <c r="I10" s="8">
        <f t="shared" si="1"/>
        <v>0</v>
      </c>
      <c r="J10" s="9" t="str">
        <f t="shared" si="2"/>
        <v/>
      </c>
      <c r="K10" s="62" t="str">
        <f t="shared" si="3"/>
        <v/>
      </c>
      <c r="M10" s="85"/>
      <c r="N10" s="86" t="str">
        <f t="shared" si="4"/>
        <v/>
      </c>
      <c r="O10" s="8" t="str">
        <f>IFERROR(IF(M10="","",N10*E10),"")</f>
        <v/>
      </c>
      <c r="P10" s="9" t="str">
        <f>IF(O10="","",IF(OR(O10-F10&gt;0,O10-F10&lt;0),(O10-F10)/F10,""))</f>
        <v/>
      </c>
      <c r="Q10" s="13"/>
    </row>
    <row r="11" spans="2:17" ht="45" x14ac:dyDescent="0.25">
      <c r="B11" s="260"/>
      <c r="C11" s="19" t="s">
        <v>77</v>
      </c>
      <c r="D11" s="16">
        <v>1</v>
      </c>
      <c r="E11" s="15">
        <v>20000</v>
      </c>
      <c r="F11" s="15">
        <f t="shared" si="0"/>
        <v>20000</v>
      </c>
      <c r="H11" s="81"/>
      <c r="I11" s="8">
        <f t="shared" si="1"/>
        <v>0</v>
      </c>
      <c r="J11" s="9" t="str">
        <f t="shared" si="2"/>
        <v/>
      </c>
      <c r="K11" s="62" t="str">
        <f t="shared" si="3"/>
        <v/>
      </c>
      <c r="M11" s="85"/>
      <c r="N11" s="86" t="str">
        <f t="shared" si="4"/>
        <v/>
      </c>
      <c r="O11" s="8" t="str">
        <f>IFERROR(IF(M11="","",N11*E11),"")</f>
        <v/>
      </c>
      <c r="P11" s="9" t="str">
        <f>IF(O11="","",IF(OR(O11-F11&gt;0,O11-F11&lt;0),(O11-F11)/F11,""))</f>
        <v/>
      </c>
      <c r="Q11" s="13"/>
    </row>
    <row r="12" spans="2:17" ht="30" x14ac:dyDescent="0.25">
      <c r="B12" s="260"/>
      <c r="C12" s="19" t="s">
        <v>210</v>
      </c>
      <c r="D12" s="16">
        <v>1</v>
      </c>
      <c r="E12" s="15">
        <v>7000</v>
      </c>
      <c r="F12" s="15">
        <f t="shared" si="0"/>
        <v>7000</v>
      </c>
      <c r="H12" s="81"/>
      <c r="I12" s="8">
        <f t="shared" si="1"/>
        <v>0</v>
      </c>
      <c r="J12" s="9" t="str">
        <f t="shared" si="2"/>
        <v/>
      </c>
      <c r="K12" s="62" t="str">
        <f t="shared" si="3"/>
        <v/>
      </c>
      <c r="M12" s="85"/>
      <c r="N12" s="86" t="str">
        <f t="shared" ref="N12:N13" si="5">IF(ISBLANK(M12),"",IF(M12="מאשר",H12,"נא למלא כמות מאושרת"))</f>
        <v/>
      </c>
      <c r="O12" s="8" t="str">
        <f t="shared" ref="O12" si="6">IF(N12="","",N12*E12)</f>
        <v/>
      </c>
      <c r="P12" s="9" t="str">
        <f t="shared" ref="P12" si="7">IF(O12="","",IF(OR(O12-F12&gt;0,O12-F12&lt;0),(O12-F12)/F12,""))</f>
        <v/>
      </c>
      <c r="Q12" s="13"/>
    </row>
    <row r="13" spans="2:17" ht="30" x14ac:dyDescent="0.25">
      <c r="B13" s="260"/>
      <c r="C13" s="19" t="s">
        <v>210</v>
      </c>
      <c r="D13" s="16">
        <v>1</v>
      </c>
      <c r="E13" s="15">
        <v>7000</v>
      </c>
      <c r="F13" s="15">
        <f t="shared" ref="F13:F14" si="8">D13*E13</f>
        <v>7000</v>
      </c>
      <c r="H13" s="81"/>
      <c r="I13" s="8">
        <f t="shared" ref="I13:I14" si="9">E13*H13</f>
        <v>0</v>
      </c>
      <c r="J13" s="9" t="str">
        <f t="shared" si="2"/>
        <v/>
      </c>
      <c r="K13" s="62" t="str">
        <f t="shared" si="3"/>
        <v/>
      </c>
      <c r="M13" s="85"/>
      <c r="N13" s="86" t="str">
        <f t="shared" si="5"/>
        <v/>
      </c>
      <c r="O13" s="8" t="str">
        <f>IFERROR(IF(M13="","",N13*E13),"")</f>
        <v/>
      </c>
      <c r="P13" s="9" t="str">
        <f>IF(O13="","",IF(OR(O13-F13&gt;0,O13-F13&lt;0),(O13-F13)/F13,""))</f>
        <v/>
      </c>
      <c r="Q13" s="13"/>
    </row>
    <row r="14" spans="2:17" ht="30" x14ac:dyDescent="0.25">
      <c r="B14" s="261"/>
      <c r="C14" s="19" t="s">
        <v>210</v>
      </c>
      <c r="D14" s="16">
        <v>1</v>
      </c>
      <c r="E14" s="15">
        <v>7000</v>
      </c>
      <c r="F14" s="15">
        <f t="shared" si="8"/>
        <v>7000</v>
      </c>
      <c r="H14" s="81"/>
      <c r="I14" s="8">
        <f t="shared" si="9"/>
        <v>0</v>
      </c>
      <c r="J14" s="9" t="str">
        <f t="shared" si="2"/>
        <v/>
      </c>
      <c r="K14" s="62" t="str">
        <f t="shared" si="3"/>
        <v/>
      </c>
      <c r="M14" s="85"/>
      <c r="N14" s="86" t="str">
        <f t="shared" ref="N14" si="10">IF(ISBLANK(M14),"",IF(M14="מאשר",H14,"נא למלא כמות מאושרת"))</f>
        <v/>
      </c>
      <c r="O14" s="8" t="str">
        <f>IFERROR(IF(M14="","",N14*E14),"")</f>
        <v/>
      </c>
      <c r="P14" s="9" t="str">
        <f>IF(O14="","",IF(OR(O14-F14&gt;0,O14-F14&lt;0),(O14-F14)/F14,""))</f>
        <v/>
      </c>
      <c r="Q14" s="13"/>
    </row>
    <row r="15" spans="2:17" x14ac:dyDescent="0.25">
      <c r="B15" s="263" t="s">
        <v>107</v>
      </c>
      <c r="C15" s="264"/>
      <c r="D15" s="17"/>
      <c r="E15" s="18"/>
      <c r="F15" s="15">
        <f>SUM(F7:F14)</f>
        <v>92000</v>
      </c>
      <c r="H15" s="11" t="str">
        <f>IF(I15&lt;=F15,"תקין ","חריגה")</f>
        <v xml:space="preserve">תקין </v>
      </c>
      <c r="I15" s="8">
        <f>SUM(I7:I14)</f>
        <v>0</v>
      </c>
      <c r="J15" s="9" t="str">
        <f t="shared" si="2"/>
        <v/>
      </c>
      <c r="K15" s="10" t="s">
        <v>41</v>
      </c>
      <c r="L15" s="48"/>
      <c r="M15" s="24"/>
      <c r="N15" s="24"/>
      <c r="O15" s="8">
        <f>SUM(O7:O14)</f>
        <v>0</v>
      </c>
      <c r="P15" s="9" t="str">
        <f>IF(O15=0,"",IF(OR(O15-F15&gt;0,O15-F15&lt;0),(O15-F15)/F15,""))</f>
        <v/>
      </c>
      <c r="Q15" s="10" t="s">
        <v>41</v>
      </c>
    </row>
    <row r="16" spans="2:17" x14ac:dyDescent="0.25">
      <c r="B16" s="2" t="s">
        <v>47</v>
      </c>
    </row>
    <row r="17" spans="3:4" x14ac:dyDescent="0.25">
      <c r="C17" s="2" t="s">
        <v>52</v>
      </c>
    </row>
    <row r="18" spans="3:4" x14ac:dyDescent="0.25">
      <c r="C18" s="2" t="s">
        <v>53</v>
      </c>
    </row>
    <row r="19" spans="3:4" x14ac:dyDescent="0.25">
      <c r="C19" s="2" t="s">
        <v>49</v>
      </c>
    </row>
    <row r="20" spans="3:4" x14ac:dyDescent="0.25">
      <c r="D20" s="42"/>
    </row>
    <row r="21" spans="3:4" ht="15.75" x14ac:dyDescent="0.25">
      <c r="C21" s="204"/>
      <c r="D21" s="205"/>
    </row>
    <row r="22" spans="3:4" ht="15.75" x14ac:dyDescent="0.25">
      <c r="C22" s="204"/>
      <c r="D22" s="205"/>
    </row>
    <row r="23" spans="3:4" ht="15.75" x14ac:dyDescent="0.25">
      <c r="C23" s="204"/>
      <c r="D23" s="205"/>
    </row>
    <row r="24" spans="3:4" ht="15.75" x14ac:dyDescent="0.25">
      <c r="C24" s="204"/>
      <c r="D24" s="205"/>
    </row>
    <row r="25" spans="3:4" x14ac:dyDescent="0.25">
      <c r="C25" s="48"/>
      <c r="D25" s="42"/>
    </row>
  </sheetData>
  <sheetProtection algorithmName="SHA-512" hashValue="EB8aAFXlrFKJlB9rG46iP/UivxDLwkVRZ4r2zCYmC4ITv6UJt0YgUA0092ulTymMZbegg85PbQKanORrZ6OIPA==" saltValue="fWcBofQZ4JpNPT99JC6hcA==" spinCount="100000" sheet="1" objects="1" scenarios="1"/>
  <mergeCells count="2">
    <mergeCell ref="B15:C15"/>
    <mergeCell ref="B7:B14"/>
  </mergeCells>
  <conditionalFormatting sqref="H15">
    <cfRule type="containsText" dxfId="6" priority="10" operator="containsText" text="חריגה">
      <formula>NOT(ISERROR(SEARCH("חריגה",H15)))</formula>
    </cfRule>
  </conditionalFormatting>
  <conditionalFormatting sqref="J7:J14">
    <cfRule type="cellIs" dxfId="5" priority="5" operator="greaterThan">
      <formula>0</formula>
    </cfRule>
    <cfRule type="cellIs" dxfId="4" priority="7" operator="greaterThan">
      <formula>""""""</formula>
    </cfRule>
  </conditionalFormatting>
  <conditionalFormatting sqref="J15">
    <cfRule type="cellIs" dxfId="3" priority="3" operator="greaterThan">
      <formula>0</formula>
    </cfRule>
    <cfRule type="cellIs" dxfId="2" priority="4" operator="greaterThan">
      <formula>""""""</formula>
    </cfRule>
  </conditionalFormatting>
  <conditionalFormatting sqref="P7:P15">
    <cfRule type="cellIs" dxfId="1" priority="1" operator="greaterThan">
      <formula>0</formula>
    </cfRule>
    <cfRule type="cellIs" dxfId="0" priority="2" operator="greaterThan">
      <formula>""""""</formula>
    </cfRule>
  </conditionalFormatting>
  <dataValidations count="2">
    <dataValidation type="list" allowBlank="1" showInputMessage="1" showErrorMessage="1" sqref="M7:M14">
      <formula1>"מאשר, מאשר חלקי"</formula1>
    </dataValidation>
    <dataValidation type="whole" allowBlank="1" showInputMessage="1" showErrorMessage="1" error="נא לכתוב מספר בין 10 ל80" sqref="E1">
      <formula1>10</formula1>
      <formula2>80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74E3F86D58734C7AA1EEF000005FC8B6" ma:contentTypeVersion="1" ma:contentTypeDescription="צור מסמך חדש." ma:contentTypeScope="" ma:versionID="ae5ff37499b070873e287761911273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8da46b6ae811ef844734bd8bf08ae2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C91528-36BC-4A1A-9B42-27170E01BC7E}">
  <ds:schemaRefs>
    <ds:schemaRef ds:uri="http://purl.org/dc/dcmitype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ACF249B-C9CF-4679-881B-B896795DB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פתיח</vt:lpstr>
      <vt:lpstr>תוכן עיניינים</vt:lpstr>
      <vt:lpstr>שאלון למילוי מגיש הבקשה - חובה</vt:lpstr>
      <vt:lpstr>ציוד כללי</vt:lpstr>
      <vt:lpstr>מחשוב</vt:lpstr>
      <vt:lpstr>מתקני כושר לחצר</vt:lpstr>
      <vt:lpstr>מתקני חדר כושר</vt:lpstr>
      <vt:lpstr>מתקני חצר לילדים</vt:lpstr>
      <vt:lpstr>חוגים</vt:lpstr>
      <vt:lpstr>ציוד נוסף שלא קיים בתקן</vt:lpstr>
      <vt:lpstr>סיכום בקשת הגוף</vt:lpstr>
      <vt:lpstr>סיכום לוועדה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Vadim Ignatiev</dc:creator>
  <cp:lastModifiedBy>Shlomit Tzalmard Busher</cp:lastModifiedBy>
  <cp:lastPrinted>2024-02-11T11:30:45Z</cp:lastPrinted>
  <dcterms:created xsi:type="dcterms:W3CDTF">2017-08-01T10:37:57Z</dcterms:created>
  <dcterms:modified xsi:type="dcterms:W3CDTF">2025-01-19T11:41:49Z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0x01010074E3F86D58734C7AA1EEF000005FC8B6</vt:lpwstr>
  </property>
  <property fmtid="{D5CDD505-2E9C-101B-9397-08002B2CF9AE}" pid="3" name="Order">
    <vt:r8>9700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